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4UEIZexs+oZH8LENQHgqrSNzbDgunbOpSxo3lq2GQZvpnlcvVgShE8+VhjWOPA1jZTCJsUJXwTdrZTNrvVRYvA==" workbookSaltValue="qr5BGkdxWhmLtgXo1KRiC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R10" i="14" s="1"/>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R19" i="8"/>
  <c r="EL19" i="8"/>
  <c r="AC11" i="11"/>
  <c r="EQ19" i="8"/>
  <c r="AP12" i="11"/>
  <c r="Y11" i="11"/>
  <c r="AT18" i="17"/>
  <c r="AL10" i="11"/>
  <c r="N10" i="11"/>
  <c r="N9" i="11"/>
  <c r="F10" i="10"/>
  <c r="N11" i="11"/>
  <c r="ES19" i="8"/>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P13" i="16"/>
  <c r="AN13" i="20"/>
  <c r="X11" i="17"/>
  <c r="Z13" i="17"/>
  <c r="F17" i="17"/>
  <c r="AQ17" i="17" s="1"/>
  <c r="M13" i="2"/>
  <c r="AO12" i="11"/>
  <c r="AO12" i="17"/>
  <c r="AC10" i="11"/>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BF15" i="8"/>
  <c r="BE9" i="8"/>
  <c r="X12" i="17"/>
  <c r="L10" i="2"/>
  <c r="AV18" i="17"/>
  <c r="J18" i="17"/>
  <c r="L15" i="2"/>
  <c r="L12" i="2"/>
  <c r="L16" i="2"/>
  <c r="U9" i="17"/>
  <c r="U19" i="17" s="1"/>
  <c r="T13" i="16"/>
  <c r="AP13" i="16"/>
  <c r="V9"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Y19" i="8"/>
  <c r="E18" i="12"/>
  <c r="T19" i="8"/>
  <c r="C18" i="7"/>
  <c r="AY18" i="8"/>
  <c r="AJ19" i="8"/>
  <c r="B16" i="6"/>
  <c r="AW18" i="21"/>
  <c r="L12" i="14"/>
  <c r="H13" i="12"/>
  <c r="BD12" i="8"/>
  <c r="H12" i="7" s="1"/>
  <c r="AB19" i="8"/>
  <c r="Z19" i="8"/>
  <c r="BG10" i="8"/>
  <c r="T10" i="21"/>
  <c r="C19" i="3"/>
  <c r="AO16" i="11"/>
  <c r="AL11" i="11"/>
  <c r="AO16" i="17"/>
  <c r="F9" i="2"/>
  <c r="H12" i="2"/>
  <c r="M18" i="2"/>
  <c r="N18" i="2"/>
  <c r="S12" i="14"/>
  <c r="V12" i="14" s="1"/>
  <c r="S16" i="14"/>
  <c r="V16" i="14" s="1"/>
  <c r="R16" i="14"/>
  <c r="B9" i="6"/>
  <c r="E11" i="6"/>
  <c r="F15" i="17"/>
  <c r="V10" i="21"/>
  <c r="C10" i="6"/>
  <c r="I10" i="12" s="1"/>
  <c r="BE15" i="13"/>
  <c r="BA18" i="13"/>
  <c r="BF18" i="13" s="1"/>
  <c r="BG15" i="8"/>
  <c r="AO17" i="11"/>
  <c r="E15" i="6"/>
  <c r="BD15" i="8"/>
  <c r="H15" i="7" s="1"/>
  <c r="BE15" i="8"/>
  <c r="BG16" i="8"/>
  <c r="E18" i="2"/>
  <c r="AL15" i="11"/>
  <c r="L16" i="14"/>
  <c r="F15" i="11"/>
  <c r="AQ15" i="11" s="1"/>
  <c r="F16" i="17"/>
  <c r="AQ16" i="17" s="1"/>
  <c r="E9" i="6"/>
  <c r="K9" i="12" s="1"/>
  <c r="BA13" i="8"/>
  <c r="BF9" i="13"/>
  <c r="D11" i="12"/>
  <c r="D12" i="12"/>
  <c r="BF11" i="8"/>
  <c r="BF9" i="8"/>
  <c r="J9" i="7" s="1"/>
  <c r="BG9" i="8"/>
  <c r="K9" i="7" s="1"/>
  <c r="BD11" i="8"/>
  <c r="BE11" i="8"/>
  <c r="I11" i="7" s="1"/>
  <c r="BG12" i="8"/>
  <c r="K12" i="7" s="1"/>
  <c r="BE12" i="8"/>
  <c r="L11" i="14"/>
  <c r="F12" i="11"/>
  <c r="AQ12" i="11" s="1"/>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B18" i="6"/>
  <c r="F19" i="7"/>
  <c r="D19" i="12"/>
  <c r="P12" i="11"/>
  <c r="K12" i="12"/>
  <c r="H13" i="2"/>
  <c r="G21" i="11"/>
  <c r="AM13" i="11"/>
  <c r="BD18" i="13"/>
  <c r="AL18" i="11"/>
  <c r="F18" i="11"/>
  <c r="C18" i="6"/>
  <c r="J9" i="12"/>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<sst xmlns="http://schemas.openxmlformats.org/spreadsheetml/2006/main" count="2102" uniqueCount="918">
  <si>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</si>
  <si>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</si>
  <si>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</si>
  <si>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</si>
  <si>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</si>
  <si>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</si>
  <si>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</si>
  <si>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</si>
  <si>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</si>
  <si>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</si>
  <si>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</si>
  <si>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</si>
  <si>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</si>
  <si>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</si>
  <si>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</si>
  <si>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</si>
  <si>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</si>
  <si>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</si>
  <si>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</si>
  <si>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</si>
  <si>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</si>
  <si>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</si>
  <si>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</si>
  <si>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</si>
  <si>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</si>
  <si>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</si>
  <si>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</si>
  <si>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</si>
  <si>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</si>
  <si>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</si>
  <si>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</si>
  <si>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</si>
  <si>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</si>
  <si>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</si>
  <si>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</si>
  <si>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</si>
  <si>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</si>
  <si>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</si>
  <si>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</si>
  <si>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</si>
  <si>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</si>
  <si>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</si>
  <si>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</si>
  <si>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</si>
  <si>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</si>
  <si>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</si>
  <si>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</si>
  <si>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</si>
  <si>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</si>
  <si>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</si>
  <si>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</si>
  <si>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</si>
  <si>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</si>
  <si>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</si>
  <si>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</si>
  <si>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</si>
  <si>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</si>
  <si>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</si>
  <si>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</si>
  <si>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</si>
  <si>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</si>
  <si>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</si>
  <si>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</si>
  <si>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</si>
  <si>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</si>
  <si>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</si>
  <si>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</si>
  <si>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</si>
  <si>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</si>
  <si>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</si>
  <si>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</si>
  <si>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</si>
  <si>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</si>
  <si>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</si>
  <si>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</si>
  <si>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</si>
  <si>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</si>
  <si>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</si>
  <si>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</si>
  <si>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</si>
  <si>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</si>
  <si>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</si>
  <si>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</si>
  <si>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</si>
  <si>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</si>
  <si>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</si>
  <si>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</si>
  <si>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</si>
  <si>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</si>
  <si>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</si>
  <si>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</si>
  <si>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</si>
  <si>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</si>
  <si>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</si>
  <si>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</si>
  <si>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</si>
  <si>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</si>
  <si>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</si>
  <si>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</si>
  <si>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</si>
  <si>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</si>
  <si>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</si>
  <si>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</si>
  <si>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</si>
  <si>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</si>
  <si>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</si>
  <si>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</si>
  <si>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</si>
  <si>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</si>
  <si>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</si>
  <si>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</si>
  <si>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</si>
  <si>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</si>
  <si>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</si>
  <si>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</si>
  <si>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</si>
  <si>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</si>
  <si>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</si>
  <si>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</si>
  <si>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</si>
  <si>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</si>
  <si>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</si>
  <si>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</si>
  <si>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</si>
  <si>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</si>
  <si>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</si>
  <si>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</si>
  <si>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</si>
  <si>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</si>
  <si>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</si>
  <si>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</si>
  <si>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</si>
  <si>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</si>
  <si>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</si>
  <si>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</si>
  <si>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</si>
  <si>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</si>
  <si>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</si>
  <si>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</si>
  <si>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</si>
  <si>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</si>
  <si>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</si>
  <si>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</si>
  <si>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</si>
  <si>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</si>
  <si>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</si>
  <si>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</si>
  <si>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</si>
  <si>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</si>
  <si>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</si>
  <si>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</si>
  <si>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</si>
  <si>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</si>
  <si>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</si>
  <si>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</si>
  <si>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</si>
  <si>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</si>
  <si>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</si>
  <si>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</si>
  <si>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</si>
  <si>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</si>
  <si>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</si>
  <si>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</si>
  <si>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</si>
  <si>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</si>
  <si>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</si>
  <si>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</si>
  <si>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</si>
  <si>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</si>
  <si>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</si>
  <si>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</si>
  <si>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</si>
  <si>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</si>
  <si>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</si>
  <si>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</si>
  <si>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</si>
  <si>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</si>
  <si>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</si>
  <si>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</si>
  <si>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</si>
  <si>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</si>
  <si>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</si>
  <si>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</si>
  <si>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</si>
  <si>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</si>
  <si>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</si>
  <si>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</si>
  <si>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</si>
  <si>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</si>
  <si>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</si>
  <si>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</si>
  <si>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</si>
  <si>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</si>
  <si>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</si>
  <si>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</si>
  <si>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</si>
  <si>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</si>
  <si>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</si>
  <si>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</si>
  <si>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</si>
  <si>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</si>
  <si>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</si>
  <si>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</si>
  <si>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</si>
  <si>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</si>
  <si>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</si>
  <si>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</si>
  <si>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</si>
  <si>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</si>
  <si>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</si>
  <si>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</si>
  <si>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</si>
  <si>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</si>
  <si>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</si>
  <si>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</si>
  <si>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</si>
  <si>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</si>
  <si>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</si>
  <si>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</si>
  <si>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</si>
  <si>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</si>
  <si>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</si>
  <si>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</si>
  <si>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</si>
  <si>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</si>
  <si>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</si>
  <si>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</si>
  <si>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</si>
  <si>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</si>
  <si>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</si>
  <si>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</si>
  <si>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</si>
  <si>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</si>
  <si>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</si>
  <si>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</si>
  <si>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</si>
  <si>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</si>
  <si>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</si>
  <si>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</si>
  <si>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</si>
  <si>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</si>
  <si>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</si>
  <si>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</si>
  <si>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</si>
  <si>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</si>
  <si>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</si>
  <si>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</si>
  <si>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</si>
  <si>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</si>
  <si>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</si>
  <si>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</si>
  <si>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</si>
  <si>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</si>
  <si>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</si>
  <si>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</si>
  <si>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</si>
  <si>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</si>
  <si>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</si>
  <si>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</si>
  <si>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</si>
  <si>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</si>
  <si>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</si>
  <si>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</si>
  <si>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</si>
  <si>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</si>
  <si>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</si>
  <si>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</si>
  <si>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</si>
  <si>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</si>
  <si>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</si>
  <si>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</si>
  <si>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</si>
  <si>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</si>
  <si>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</si>
  <si>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</si>
  <si>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</si>
  <si>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</si>
  <si>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</si>
  <si>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</si>
  <si>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</si>
  <si>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</si>
  <si>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</si>
  <si>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</si>
  <si>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</si>
  <si>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</si>
  <si>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</si>
  <si>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</si>
  <si>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</si>
  <si>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</si>
  <si>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</si>
  <si>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</si>
  <si>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</si>
  <si>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</si>
  <si>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</si>
  <si>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</si>
  <si>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</si>
  <si>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</si>
  <si>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</si>
  <si>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</si>
  <si>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</si>
  <si>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</si>
  <si>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</si>
  <si>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</si>
  <si>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</si>
  <si>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</si>
  <si>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</si>
  <si>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</si>
  <si>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</si>
  <si>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</si>
  <si>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</si>
  <si>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</si>
  <si>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</si>
  <si>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</si>
  <si>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</si>
  <si>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</si>
  <si>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</si>
  <si>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</si>
  <si>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</si>
  <si>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</si>
  <si>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</si>
  <si>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</si>
  <si>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</si>
  <si>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</si>
  <si>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</si>
  <si>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</si>
  <si>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</si>
  <si>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</si>
  <si>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</si>
  <si>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</si>
  <si>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</si>
  <si>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</si>
  <si>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</si>
  <si>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</si>
  <si>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</si>
  <si>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</si>
  <si>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</si>
  <si>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</si>
  <si>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</si>
  <si>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</si>
  <si>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</si>
  <si>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</si>
  <si>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</si>
  <si>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</si>
  <si>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</si>
  <si>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</si>
  <si>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</si>
  <si>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</si>
  <si>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</si>
  <si>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</si>
  <si>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</si>
  <si>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</si>
  <si>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</si>
  <si>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</si>
  <si>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</si>
  <si>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</si>
  <si>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</si>
  <si>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</si>
  <si>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</si>
  <si>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</si>
  <si>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</si>
  <si>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</si>
  <si>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</si>
  <si>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</si>
  <si>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</si>
  <si>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</si>
  <si>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</si>
  <si>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</si>
  <si>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</si>
  <si>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</si>
  <si>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</si>
  <si>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</si>
  <si>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</si>
  <si>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</si>
  <si>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</si>
  <si>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</si>
  <si>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</si>
  <si>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</si>
  <si>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</si>
  <si>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</si>
  <si>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</si>
  <si>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</si>
  <si>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</si>
  <si>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</si>
  <si>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</si>
  <si>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</si>
  <si>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</si>
  <si>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</si>
  <si>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</si>
  <si>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</si>
  <si>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</si>
  <si>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</si>
  <si>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</si>
  <si>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</si>
  <si>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</si>
  <si>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</si>
  <si>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</si>
  <si>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</si>
  <si>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</si>
  <si>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</si>
  <si>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</si>
  <si>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</si>
  <si>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</si>
  <si>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</si>
  <si>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</si>
  <si>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</si>
  <si>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</si>
  <si>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</si>
  <si>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</si>
  <si>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</si>
  <si>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</si>
  <si>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</si>
  <si>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</si>
  <si>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</si>
  <si>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</si>
  <si>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</si>
  <si>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</si>
  <si>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</si>
  <si>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</si>
  <si>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</si>
  <si>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</si>
  <si>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</si>
  <si>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</si>
  <si>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</si>
  <si>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</si>
  <si>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</si>
  <si>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</si>
  <si>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</si>
  <si>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</si>
  <si>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</si>
  <si>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</si>
  <si>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</si>
  <si>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</si>
  <si>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</si>
  <si>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</si>
  <si>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</si>
  <si>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</si>
  <si>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</si>
  <si>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</si>
  <si>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</si>
  <si>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</si>
  <si>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</si>
  <si>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</si>
  <si>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</si>
  <si>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</si>
  <si>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</si>
  <si>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</si>
  <si>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</si>
  <si>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</si>
  <si>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</si>
  <si>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</si>
  <si>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</si>
  <si>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</si>
  <si>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</si>
  <si>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</si>
  <si>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</si>
  <si>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</si>
  <si>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</si>
  <si>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</si>
  <si>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</si>
  <si>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</si>
  <si>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</si>
  <si>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</si>
  <si>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</si>
  <si>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</si>
  <si>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</si>
  <si>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</si>
  <si>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</si>
  <si>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</si>
  <si>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</si>
  <si>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</si>
  <si>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</si>
  <si>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</si>
  <si>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</si>
  <si>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</si>
  <si>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</si>
  <si>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</si>
  <si>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</si>
  <si>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</si>
  <si>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</si>
  <si>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</si>
  <si>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</si>
  <si>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</si>
  <si>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</si>
  <si>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</si>
  <si>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</si>
  <si>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</si>
  <si>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</si>
  <si>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</si>
  <si>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</si>
  <si>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</si>
  <si>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</si>
  <si>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</si>
  <si>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</si>
  <si>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</si>
  <si>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</si>
  <si>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</si>
  <si>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</si>
  <si>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</si>
  <si>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</si>
  <si>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</si>
  <si>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</si>
  <si>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</si>
  <si>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</si>
  <si>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</si>
  <si>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</si>
  <si>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</si>
  <si>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</si>
  <si>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</si>
  <si>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</si>
  <si>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</si>
  <si>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</si>
  <si>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</si>
  <si>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</si>
  <si>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</si>
  <si>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</si>
  <si>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</si>
  <si>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</si>
  <si>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</si>
  <si>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</si>
  <si>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</si>
  <si>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</si>
  <si>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</si>
  <si>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</si>
  <si>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</si>
  <si>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</si>
  <si>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</si>
  <si>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</si>
  <si>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</si>
  <si>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</si>
  <si>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</si>
  <si>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</si>
  <si>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</si>
  <si>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</si>
  <si>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</si>
  <si>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</si>
  <si>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</si>
  <si>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</si>
  <si>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</si>
  <si>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</si>
  <si>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</si>
  <si>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</si>
  <si>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</si>
  <si>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</si>
  <si>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</si>
  <si>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</si>
  <si>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</si>
  <si>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</si>
  <si>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</si>
  <si>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</si>
  <si>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</si>
  <si>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</si>
  <si>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</si>
  <si>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</si>
  <si>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</si>
  <si>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</si>
  <si>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</si>
  <si>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</si>
  <si>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</si>
  <si>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</si>
  <si>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</si>
  <si>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</si>
  <si>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</si>
  <si>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</si>
  <si>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</si>
  <si>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</si>
  <si>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</si>
  <si>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</si>
  <si>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</si>
  <si>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</si>
  <si>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</si>
  <si>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</si>
  <si>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</si>
  <si>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</si>
  <si>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</si>
  <si>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</si>
  <si>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</si>
  <si>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</si>
  <si>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</si>
  <si>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</si>
  <si>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</si>
  <si>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</si>
  <si>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</si>
  <si>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</si>
  <si>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</si>
  <si>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</si>
  <si>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</si>
  <si>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</si>
  <si>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</si>
  <si>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</si>
  <si>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</si>
  <si>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</si>
  <si>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</si>
  <si>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</si>
  <si>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</si>
  <si>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</si>
  <si>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</si>
  <si>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</si>
  <si>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</si>
  <si>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</si>
  <si>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</si>
  <si>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</si>
  <si>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</si>
  <si>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</si>
  <si>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</si>
  <si>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</si>
  <si>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</si>
  <si>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</si>
  <si>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</si>
  <si>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</si>
  <si>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</si>
  <si>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</si>
  <si>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</si>
  <si>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</si>
  <si>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</si>
  <si>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</si>
  <si>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</si>
  <si>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</si>
  <si>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</si>
  <si>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</si>
  <si>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</si>
  <si>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</si>
  <si>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</si>
  <si>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</si>
  <si>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</si>
  <si>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</si>
  <si>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</si>
  <si>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</si>
  <si>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</si>
  <si>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</si>
  <si>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</si>
  <si>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</si>
  <si>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</si>
  <si>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</si>
  <si>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</si>
  <si>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</si>
  <si>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</si>
  <si>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</si>
  <si>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</si>
  <si>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</si>
  <si>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</si>
  <si>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</si>
  <si>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</si>
  <si>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</si>
  <si>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</si>
  <si>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</si>
  <si>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</si>
  <si>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</si>
  <si>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</si>
  <si>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</si>
  <si>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</si>
  <si>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</si>
  <si>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</si>
  <si>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</si>
  <si>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</si>
  <si>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</si>
  <si>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</si>
  <si>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</si>
  <si>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</si>
  <si>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</si>
  <si>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</si>
  <si>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</si>
  <si>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</si>
  <si>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</si>
  <si>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</si>
  <si>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</si>
  <si>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</si>
  <si>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</si>
  <si>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</si>
  <si>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</si>
  <si>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</si>
  <si>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</si>
  <si>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</si>
  <si>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</si>
  <si>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</si>
  <si>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</si>
  <si>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</si>
  <si>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</si>
  <si>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</si>
  <si>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</si>
  <si>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</si>
  <si>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</si>
  <si>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</si>
  <si>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</si>
  <si>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</si>
  <si>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</si>
  <si>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</si>
  <si>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</si>
  <si>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</si>
  <si>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</si>
  <si>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</si>
  <si>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</si>
  <si>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</si>
  <si>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</si>
  <si>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</si>
  <si>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</si>
  <si>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</si>
  <si>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</si>
  <si>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</si>
  <si>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</si>
  <si>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</si>
  <si>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</si>
  <si>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</si>
  <si>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</si>
  <si>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</si>
  <si>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</si>
  <si>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</si>
  <si>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</si>
  <si>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</si>
  <si>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</si>
  <si>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</si>
  <si>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</si>
  <si>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</si>
  <si>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</si>
  <si>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</si>
  <si>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</si>
  <si>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</si>
  <si>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</si>
  <si>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</si>
  <si>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</si>
  <si>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</si>
  <si>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</si>
  <si>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</si>
  <si>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</si>
  <si>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</si>
  <si>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</si>
  <si>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</si>
  <si>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</si>
  <si>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</si>
  <si>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</si>
  <si>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</si>
  <si>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</si>
  <si>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</si>
  <si>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</si>
  <si>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</si>
  <si>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</si>
  <si>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</si>
  <si>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</si>
  <si>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</si>
  <si>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</si>
  <si>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</si>
  <si>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</si>
  <si>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</si>
  <si>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</si>
  <si>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</si>
  <si>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</si>
  <si>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</si>
  <si>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</si>
  <si>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</si>
  <si>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</si>
  <si>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</si>
  <si>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</si>
  <si>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</si>
  <si>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</si>
  <si>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</si>
  <si>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</si>
  <si>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</si>
  <si>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</si>
  <si>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</si>
  <si>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</si>
  <si>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</si>
  <si>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</si>
  <si>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</si>
  <si>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</si>
  <si>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</si>
  <si>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</si>
  <si>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</si>
  <si>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</si>
  <si>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</si>
  <si>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</si>
  <si>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</si>
  <si>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</si>
  <si>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</si>
  <si>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</si>
  <si>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</si>
  <si>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</si>
  <si>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</si>
  <si>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</si>
  <si>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</si>
  <si>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</si>
  <si>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</si>
  <si>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</si>
  <si>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</si>
  <si>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</si>
  <si>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</si>
  <si>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</si>
  <si>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</si>
  <si>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</si>
  <si>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</si>
  <si>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</si>
  <si>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</si>
  <si>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</si>
  <si>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</si>
  <si>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</si>
  <si>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</si>
  <si>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</si>
  <si>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</si>
  <si>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</si>
  <si>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</si>
  <si>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</si>
  <si>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</si>
  <si>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</si>
  <si>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</si>
  <si>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</si>
  <si>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</si>
  <si>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</si>
  <si>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</si>
  <si>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</si>
  <si>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</si>
  <si>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</si>
  <si>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</si>
  <si>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</si>
  <si>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</si>
  <si>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</si>
  <si>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</si>
  <si>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</si>
  <si>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</si>
  <si>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</si>
  <si>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</si>
  <si>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</si>
  <si>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</si>
  <si>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</si>
  <si>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</si>
  <si>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</si>
  <si>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</si>
  <si>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</si>
  <si>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</si>
  <si>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</si>
  <si>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</si>
  <si>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</si>
  <si>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</si>
  <si>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</si>
  <si>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</si>
  <si>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</si>
  <si>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</si>
  <si>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</si>
  <si>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</si>
  <si>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</si>
  <si>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</si>
  <si>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</si>
  <si>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</si>
  <si>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</si>
  <si>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</si>
  <si>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</si>
  <si>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</si>
  <si>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</si>
  <si>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</si>
  <si>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</si>
  <si>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</si>
  <si>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</si>
  <si>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</si>
  <si>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</si>
  <si>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</si>
  <si>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</si>
  <si>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</si>
  <si>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</si>
  <si>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</si>
  <si>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</si>
  <si>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</si>
  <si>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</si>
  <si>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</si>
  <si>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</si>
  <si>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</si>
  <si>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</si>
  <si>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</si>
  <si>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</si>
  <si>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</si>
  <si>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</si>
  <si>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</si>
  <si>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</si>
  <si>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</si>
  <si>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</si>
  <si>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</si>
  <si>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</si>
  <si>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</si>
  <si>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</si>
  <si>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</si>
  <si>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</si>
  <si>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</si>
  <si>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</si>
  <si>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</si>
  <si>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</si>
  <si>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</si>
  <si>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</si>
  <si>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</si>
  <si>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</si>
  <si>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</si>
  <si>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</si>
  <si>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</si>
  <si>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</si>
  <si>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</si>
  <si>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</si>
  <si>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</si>
  <si>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</si>
  <si>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</si>
  <si>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</si>
  <si>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</si>
  <si>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</si>
  <si>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</si>
  <si>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</si>
  <si>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</si>
  <si>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</si>
  <si>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</si>
  <si>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</si>
  <si>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</si>
  <si>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</si>
  <si>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</si>
  <si>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</si>
  <si>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</si>
  <si>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</si>
  <si>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</si>
  <si>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</si>
  <si>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</si>
  <si>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</si>
  <si>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</si>
  <si>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</si>
  <si>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CIUDAD REAL</t>
  </si>
  <si>
    <t>Resumenes por Partidos Judiciales</t>
  </si>
  <si>
    <t>VALDEPEÑAS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</si>
</sst>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xqTzX/4gu2VY3U9geno7O0kr9hltGDKKAMdp2H9SseCxp74pjVeFjXNjocR0+GQR7/Pa0JHCsSR/zmlZqGQZA==" saltValue="3ZDmCH82epMyOe/VAIMj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28</v>
      </c>
      <c r="D10" s="224">
        <f>IF(ISNUMBER(Datos!I10),Datos!I10," - ")</f>
        <v>28</v>
      </c>
      <c r="E10" s="225">
        <f>IF(ISNUMBER(Datos!J10),Datos!J10," - ")</f>
        <v>1</v>
      </c>
      <c r="F10" s="225">
        <f>IF(ISNUMBER(Datos!K10),Datos!K10," - ")</f>
        <v>6</v>
      </c>
      <c r="G10" s="1033" t="str">
        <f>IF(Datos!E10&lt;&gt;"",Datos!E10,Datos!D10)</f>
        <v>37</v>
      </c>
      <c r="H10" s="226">
        <f>IF(ISNUMBER(Datos!L10),Datos!L10," - ")</f>
        <v>23</v>
      </c>
      <c r="I10" s="1043" t="str">
        <f>IF(ISNUMBER(Datos!AS10/Datos!BM10),Datos!AS10/Datos!BM10," - ")</f>
        <v xml:space="preserve"> - </v>
      </c>
      <c r="J10" s="1044">
        <f>IF(ISNUMBER(Datos!BY10/Datos!CN10),Datos!BY10/Datos!CN10," - ")</f>
        <v>0</v>
      </c>
      <c r="K10" s="229">
        <f t="shared" ref="K10:K12" si="1">IF(ISNUMBER((E10-F10)/C10),(E10-F10)/C10," - ")</f>
        <v>-0.17857142857142858</v>
      </c>
      <c r="L10" s="1024">
        <f>IF(ISNUMBER(NºAsuntos!I10/NºAsuntos!G10),(NºAsuntos!I10/NºAsuntos!G10)*11," - ")</f>
        <v>42.166666666666671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47.864347826086956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28</v>
      </c>
      <c r="D13" s="1048">
        <f>SUBTOTAL(9,D9:D12)</f>
        <v>28</v>
      </c>
      <c r="E13" s="1049">
        <f>SUBTOTAL(9,E9:E12)</f>
        <v>1</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1114</v>
      </c>
      <c r="D16" s="224">
        <f>IF(ISNUMBER(IF(D_I="SI",Datos!I16,Datos!I16+Datos!AC16)),IF(D_I="SI",Datos!I16,Datos!I16+Datos!AC16)," - ")</f>
        <v>1112</v>
      </c>
      <c r="E16" s="225">
        <f>IF(ISNUMBER(IF(D_I="SI",Datos!J16,Datos!J16+Datos!AD16)),IF(D_I="SI",Datos!J16,Datos!J16+Datos!AD16)," - ")</f>
        <v>465</v>
      </c>
      <c r="F16" s="225">
        <f>IF(ISNUMBER(IF(D_I="SI",Datos!K16,Datos!K16+Datos!AE16)),IF(D_I="SI",Datos!K16,Datos!K16+Datos!AE16)," - ")</f>
        <v>404</v>
      </c>
      <c r="G16" s="1033" t="str">
        <f>IF(Datos!E16&lt;&gt;"",Datos!E16,Datos!D16)</f>
        <v>04</v>
      </c>
      <c r="H16" s="226">
        <f>IF(ISNUMBER(IF(D_I="SI",Datos!L16,Datos!L16+Datos!AF16)),IF(D_I="SI",Datos!L16,Datos!L16+Datos!AF16)," - ")</f>
        <v>1175</v>
      </c>
      <c r="I16" s="1043" t="str">
        <f>IF(ISNUMBER(Datos!AS16/Datos!BM16),Datos!AS16/Datos!BM16," - ")</f>
        <v xml:space="preserve"> - </v>
      </c>
      <c r="J16" s="1044">
        <f>IF(ISNUMBER(Datos!BY16/Datos!CN16),Datos!BY16/Datos!CN16," - ")</f>
        <v>0</v>
      </c>
      <c r="K16" s="229">
        <f t="shared" si="3"/>
        <v>5.475763016157989E-2</v>
      </c>
      <c r="L16" s="1024">
        <f>IF(ISNUMBER(NºAsuntos!I16/NºAsuntos!G16),(NºAsuntos!I16/NºAsuntos!G16)*11," - ")</f>
        <v>31.992574257425744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98</v>
      </c>
      <c r="D17" s="224">
        <f>IF(ISNUMBER(IF(D_I="SI",Datos!I17,Datos!I17+Datos!AC17)),IF(D_I="SI",Datos!I17,Datos!I17+Datos!AC17)," - ")</f>
        <v>98</v>
      </c>
      <c r="E17" s="225">
        <f>IF(ISNUMBER(IF(D_I="SI",Datos!J17,Datos!J17+Datos!AD17)),IF(D_I="SI",Datos!J17,Datos!J17+Datos!AD17)," - ")</f>
        <v>58</v>
      </c>
      <c r="F17" s="225">
        <f>IF(ISNUMBER(IF(D_I="SI",Datos!K17,Datos!K17+Datos!AE17)),IF(D_I="SI",Datos!K17,Datos!K17+Datos!AE17)," - ")</f>
        <v>53</v>
      </c>
      <c r="G17" s="1033" t="str">
        <f>IF(Datos!E17&lt;&gt;"",Datos!E17,Datos!D17)</f>
        <v>37</v>
      </c>
      <c r="H17" s="226">
        <f>IF(ISNUMBER(IF(D_I="SI",Datos!L17,Datos!L17+Datos!AF17)),IF(D_I="SI",Datos!L17,Datos!L17+Datos!AF17)," - ")</f>
        <v>103</v>
      </c>
      <c r="I17" s="1043" t="str">
        <f>IF(ISNUMBER(Datos!AS17/Datos!BM17),Datos!AS17/Datos!BM17," - ")</f>
        <v xml:space="preserve"> - </v>
      </c>
      <c r="J17" s="1044" t="str">
        <f>IF(ISNUMBER((Datos!BY17+Datos!BZ17)/Datos!CN17),(Datos!BY17+Datos!BZ17)/Datos!CN17," - ")</f>
        <v xml:space="preserve"> - </v>
      </c>
      <c r="K17" s="229">
        <f t="shared" si="3"/>
        <v>5.1020408163265307E-2</v>
      </c>
      <c r="L17" s="1024">
        <f>IF(ISNUMBER(NºAsuntos!I17/NºAsuntos!G17),(NºAsuntos!I17/NºAsuntos!G17)*11," - ")</f>
        <v>21.377358490566039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1212</v>
      </c>
      <c r="D18" s="1048">
        <f>SUBTOTAL(9,D15:D17)</f>
        <v>1210</v>
      </c>
      <c r="E18" s="1049">
        <f>SUBTOTAL(9,E15:E17)</f>
        <v>523</v>
      </c>
      <c r="F18" s="1049">
        <f>SUBTOTAL(9,F15:F17)</f>
        <v>457</v>
      </c>
      <c r="G18" s="1051" t="str">
        <f ca="1">INDIRECT(CONCATENATE("G",ROW()-1))</f>
        <v>37</v>
      </c>
      <c r="H18" s="1052">
        <f ca="1">SUMIF(G$14:G17,G18,H$14:H17)</f>
        <v>103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1240</v>
      </c>
      <c r="D19" s="1070">
        <f>SUBTOTAL(9,D9:D18)</f>
        <v>1238</v>
      </c>
      <c r="E19" s="1071">
        <f>SUBTOTAL(9,E9:E18)</f>
        <v>524</v>
      </c>
      <c r="F19" s="1071">
        <f>SUBTOTAL(9,F9:F18)</f>
        <v>463</v>
      </c>
      <c r="G19" s="1072"/>
      <c r="H19" s="1073">
        <f ca="1">SUMIF(B9:B18,"TOTAL",H9:H18)</f>
        <v>103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8O1akNRAYFu8+02b7onnKNqcx8WtkOQnfeoSkzZb6shCdnyqAuFRaWNfHuYYfPHJwqdzCkaqGvFKGHuhDEZWSA==" saltValue="3V4gJmDoTRNkKNW8FgCiM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AT9x8Ra8O0lUJ7/7S/mrB50hxgrJqnaxhmQkEs/AWy/zofX5kol4ZnUNMbglB6ByPSXK8fhrhMbodDD6S4rKA==" saltValue="3U+ONdtc31fLD3+sh9zg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28</v>
      </c>
      <c r="J10" s="180">
        <v>1</v>
      </c>
      <c r="K10" s="180">
        <v>6</v>
      </c>
      <c r="L10" s="180">
        <v>23</v>
      </c>
      <c r="M10" s="180">
        <v>3</v>
      </c>
      <c r="N10" s="180">
        <v>1</v>
      </c>
      <c r="O10" s="180">
        <v>0</v>
      </c>
      <c r="P10" s="180">
        <v>0</v>
      </c>
      <c r="Q10" s="180">
        <v>0</v>
      </c>
      <c r="R10" s="180">
        <v>0</v>
      </c>
      <c r="S10" s="180">
        <v>27</v>
      </c>
      <c r="T10" s="180">
        <v>8</v>
      </c>
      <c r="U10" s="180">
        <v>3</v>
      </c>
      <c r="V10" s="180">
        <v>32</v>
      </c>
      <c r="W10" s="180">
        <v>1</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27</v>
      </c>
      <c r="AZ10" s="129">
        <f t="shared" si="0"/>
        <v>8</v>
      </c>
      <c r="BA10" s="129">
        <f t="shared" si="0"/>
        <v>3</v>
      </c>
      <c r="BB10" s="129">
        <f t="shared" si="0"/>
        <v>32</v>
      </c>
      <c r="BC10" s="125">
        <f t="shared" si="0"/>
        <v>1</v>
      </c>
      <c r="BD10" s="126">
        <f>IF(ISNUMBER(BA10/AZ10),BA10/AZ10," - ")</f>
        <v>0.375</v>
      </c>
      <c r="BE10" s="127">
        <f>IF(ISNUMBER(BB10/BA10),BB10/BA10, " - ")</f>
        <v>10.666666666666666</v>
      </c>
      <c r="BF10" s="127">
        <f>IF(ISNUMBER(BC10/BA10),BC10/BA10, " - ")</f>
        <v>0.33333333333333331</v>
      </c>
      <c r="BG10" s="195">
        <f>IF(ISNUMBER((AY10+AZ10)/BA10),(AY10+AZ10)/BA10," - ")</f>
        <v>11.666666666666666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2604</v>
      </c>
      <c r="J12" s="182">
        <v>356</v>
      </c>
      <c r="K12" s="182">
        <v>518</v>
      </c>
      <c r="L12" s="182">
        <v>2442</v>
      </c>
      <c r="M12" s="182">
        <v>120</v>
      </c>
      <c r="N12" s="182">
        <v>230</v>
      </c>
      <c r="O12" s="180">
        <v>277</v>
      </c>
      <c r="P12" s="182">
        <v>230</v>
      </c>
      <c r="Q12" s="182">
        <v>74</v>
      </c>
      <c r="R12" s="182">
        <v>2312</v>
      </c>
      <c r="S12" s="182">
        <v>2857</v>
      </c>
      <c r="T12" s="182">
        <v>608</v>
      </c>
      <c r="U12" s="182">
        <v>585</v>
      </c>
      <c r="V12" s="182">
        <v>2873</v>
      </c>
      <c r="W12" s="182">
        <v>106</v>
      </c>
      <c r="X12" s="188">
        <v>264</v>
      </c>
      <c r="Y12" s="190">
        <v>92</v>
      </c>
      <c r="Z12" s="180">
        <v>25</v>
      </c>
      <c r="AA12" s="180">
        <v>57</v>
      </c>
      <c r="AB12" s="180">
        <v>60</v>
      </c>
      <c r="AC12" s="182">
        <v>0</v>
      </c>
      <c r="AD12" s="182">
        <v>0</v>
      </c>
      <c r="AE12" s="182">
        <v>0</v>
      </c>
      <c r="AF12" s="188">
        <v>0</v>
      </c>
      <c r="AG12" s="201">
        <v>58</v>
      </c>
      <c r="AH12" s="182">
        <v>18</v>
      </c>
      <c r="AI12" s="182">
        <v>24</v>
      </c>
      <c r="AJ12" s="202">
        <v>52</v>
      </c>
      <c r="AK12" s="181">
        <v>0</v>
      </c>
      <c r="AL12" s="182">
        <v>0</v>
      </c>
      <c r="AM12" s="182">
        <v>0</v>
      </c>
      <c r="AN12" s="188">
        <v>0</v>
      </c>
      <c r="AO12" s="258">
        <v>2</v>
      </c>
      <c r="AP12" s="154">
        <v>2</v>
      </c>
      <c r="AQ12" s="154">
        <v>2</v>
      </c>
      <c r="AR12" s="153">
        <v>2</v>
      </c>
      <c r="AS12" s="339" t="s">
        <v>794</v>
      </c>
      <c r="AT12" s="202"/>
      <c r="AU12" s="201"/>
      <c r="AV12" s="202"/>
      <c r="AW12" s="201"/>
      <c r="AX12" s="202"/>
      <c r="AY12" s="126">
        <f t="shared" si="1"/>
        <v>2915</v>
      </c>
      <c r="AZ12" s="127">
        <f t="shared" si="1"/>
        <v>626</v>
      </c>
      <c r="BA12" s="127">
        <f t="shared" si="1"/>
        <v>609</v>
      </c>
      <c r="BB12" s="127">
        <f t="shared" si="1"/>
        <v>2925</v>
      </c>
      <c r="BC12" s="125">
        <f>IF(ISNUMBER(X12),X12," - ")</f>
        <v>264</v>
      </c>
      <c r="BD12" s="126">
        <f t="shared" si="2"/>
        <v>0.97284345047923326</v>
      </c>
      <c r="BE12" s="127">
        <f t="shared" si="3"/>
        <v>4.8029556650246308</v>
      </c>
      <c r="BF12" s="127">
        <f t="shared" si="4"/>
        <v>0.43349753694581283</v>
      </c>
      <c r="BG12" s="195">
        <f t="shared" si="5"/>
        <v>5.8144499178981937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2632</v>
      </c>
      <c r="J13" s="183">
        <f t="shared" si="6"/>
        <v>357</v>
      </c>
      <c r="K13" s="183">
        <f t="shared" si="6"/>
        <v>524</v>
      </c>
      <c r="L13" s="183">
        <f t="shared" si="6"/>
        <v>2465</v>
      </c>
      <c r="M13" s="183">
        <f t="shared" si="6"/>
        <v>123</v>
      </c>
      <c r="N13" s="183">
        <f t="shared" si="6"/>
        <v>231</v>
      </c>
      <c r="O13" s="183">
        <f t="shared" si="6"/>
        <v>277</v>
      </c>
      <c r="P13" s="183">
        <f t="shared" si="6"/>
        <v>230</v>
      </c>
      <c r="Q13" s="183">
        <f t="shared" si="6"/>
        <v>74</v>
      </c>
      <c r="R13" s="183">
        <f t="shared" si="6"/>
        <v>2312</v>
      </c>
      <c r="S13" s="183">
        <f t="shared" si="6"/>
        <v>2884</v>
      </c>
      <c r="T13" s="183">
        <f t="shared" si="6"/>
        <v>616</v>
      </c>
      <c r="U13" s="183">
        <f t="shared" si="6"/>
        <v>588</v>
      </c>
      <c r="V13" s="183">
        <f t="shared" si="6"/>
        <v>2905</v>
      </c>
      <c r="W13" s="183">
        <f t="shared" si="6"/>
        <v>107</v>
      </c>
      <c r="X13" s="183">
        <f t="shared" si="6"/>
        <v>265</v>
      </c>
      <c r="Y13" s="183">
        <f t="shared" si="6"/>
        <v>92</v>
      </c>
      <c r="Z13" s="183">
        <f t="shared" si="6"/>
        <v>25</v>
      </c>
      <c r="AA13" s="183">
        <f t="shared" si="6"/>
        <v>57</v>
      </c>
      <c r="AB13" s="183">
        <f t="shared" si="6"/>
        <v>60</v>
      </c>
      <c r="AC13" s="183">
        <f t="shared" si="6"/>
        <v>0</v>
      </c>
      <c r="AD13" s="183">
        <f t="shared" si="6"/>
        <v>0</v>
      </c>
      <c r="AE13" s="183">
        <f t="shared" si="6"/>
        <v>0</v>
      </c>
      <c r="AF13" s="183">
        <f>SUBTOTAL(9,AF9:AF12)</f>
        <v>0</v>
      </c>
      <c r="AG13" s="183">
        <f t="shared" ref="AG13:AT13" si="7">SUBTOTAL(9,AG8:AG12)</f>
        <v>58</v>
      </c>
      <c r="AH13" s="183">
        <f t="shared" si="7"/>
        <v>18</v>
      </c>
      <c r="AI13" s="183">
        <f t="shared" si="7"/>
        <v>24</v>
      </c>
      <c r="AJ13" s="183">
        <f t="shared" si="7"/>
        <v>52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2942</v>
      </c>
      <c r="AZ13" s="183">
        <f>SUBTOTAL(9,AZ8:AZ12)</f>
        <v>634</v>
      </c>
      <c r="BA13" s="183">
        <f>SUBTOTAL(9,BA8:BA12)</f>
        <v>612</v>
      </c>
      <c r="BB13" s="183">
        <f>SUBTOTAL(9,BB8:BB12)</f>
        <v>2957</v>
      </c>
      <c r="BC13" s="183">
        <f>SUBTOTAL(9,BC8:BC12)</f>
        <v>265</v>
      </c>
      <c r="BD13" s="204">
        <f>IF(ISNUMBER(BA13/AZ13),BA13/AZ13," - ")</f>
        <v>0.96529968454258674</v>
      </c>
      <c r="BE13" s="205">
        <f>IF(ISNUMBER(BB13/BA13),BB13/BA13, " - ")</f>
        <v>4.8316993464052285</v>
      </c>
      <c r="BF13" s="205">
        <f>IF(ISNUMBER(BC13/BA13),BC13/BA13, " - ")</f>
        <v>0.43300653594771243</v>
      </c>
      <c r="BG13" s="206">
        <f>IF(ISNUMBER((AY13+AZ13)/BA13),(AY13+AZ13)/BA13," - ")</f>
        <v>5.8431372549019605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1112</v>
      </c>
      <c r="J16" s="182">
        <v>465</v>
      </c>
      <c r="K16" s="182">
        <v>404</v>
      </c>
      <c r="L16" s="182">
        <v>1175</v>
      </c>
      <c r="M16" s="182">
        <v>66</v>
      </c>
      <c r="N16" s="182">
        <v>215</v>
      </c>
      <c r="O16" s="180">
        <v>0</v>
      </c>
      <c r="P16" s="182">
        <v>0</v>
      </c>
      <c r="Q16" s="182">
        <v>0</v>
      </c>
      <c r="R16" s="182">
        <v>132</v>
      </c>
      <c r="S16" s="182">
        <v>1131</v>
      </c>
      <c r="T16" s="182">
        <v>368</v>
      </c>
      <c r="U16" s="182">
        <v>418</v>
      </c>
      <c r="V16" s="182">
        <v>1084</v>
      </c>
      <c r="W16" s="182">
        <v>73</v>
      </c>
      <c r="X16" s="188">
        <v>207</v>
      </c>
      <c r="Y16" s="201">
        <v>0</v>
      </c>
      <c r="Z16" s="182">
        <v>0</v>
      </c>
      <c r="AA16" s="182">
        <v>0</v>
      </c>
      <c r="AB16" s="182">
        <v>0</v>
      </c>
      <c r="AC16" s="182">
        <v>0</v>
      </c>
      <c r="AD16" s="182">
        <v>1</v>
      </c>
      <c r="AE16" s="182">
        <v>1</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1131</v>
      </c>
      <c r="AZ16" s="127">
        <f t="shared" si="9"/>
        <v>368</v>
      </c>
      <c r="BA16" s="127">
        <f t="shared" si="9"/>
        <v>418</v>
      </c>
      <c r="BB16" s="127">
        <f t="shared" si="9"/>
        <v>1084</v>
      </c>
      <c r="BC16" s="125">
        <f>IF(ISNUMBER(W16),W16," - ")</f>
        <v>73</v>
      </c>
      <c r="BD16" s="126">
        <f t="shared" ref="BD16" si="11">IF(ISNUMBER(BA16/AZ16),BA16/AZ16," - ")</f>
        <v>1.1358695652173914</v>
      </c>
      <c r="BE16" s="127">
        <f t="shared" ref="BE16" si="12">IF(ISNUMBER(BB16/BA16),BB16/BA16, " - ")</f>
        <v>2.5933014354066986</v>
      </c>
      <c r="BF16" s="127">
        <f t="shared" ref="BF16" si="13">IF(ISNUMBER(BC16/BA16),BC16/BA16, " - ")</f>
        <v>0.17464114832535885</v>
      </c>
      <c r="BG16" s="195">
        <f t="shared" si="10"/>
        <v>3.5861244019138754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98</v>
      </c>
      <c r="J17" s="182">
        <v>58</v>
      </c>
      <c r="K17" s="182">
        <v>53</v>
      </c>
      <c r="L17" s="182">
        <v>103</v>
      </c>
      <c r="M17" s="182">
        <v>10</v>
      </c>
      <c r="N17" s="182">
        <v>31</v>
      </c>
      <c r="O17" s="182">
        <v>0</v>
      </c>
      <c r="P17" s="182">
        <v>0</v>
      </c>
      <c r="Q17" s="182">
        <v>0</v>
      </c>
      <c r="R17" s="182">
        <v>0</v>
      </c>
      <c r="S17" s="182">
        <v>91</v>
      </c>
      <c r="T17" s="182">
        <v>62</v>
      </c>
      <c r="U17" s="182">
        <v>49</v>
      </c>
      <c r="V17" s="182">
        <v>104</v>
      </c>
      <c r="W17" s="182">
        <v>10</v>
      </c>
      <c r="X17" s="188">
        <v>23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91</v>
      </c>
      <c r="AZ17" s="129">
        <f t="shared" si="14"/>
        <v>62</v>
      </c>
      <c r="BA17" s="129">
        <f t="shared" si="14"/>
        <v>49</v>
      </c>
      <c r="BB17" s="129">
        <f t="shared" si="14"/>
        <v>104</v>
      </c>
      <c r="BC17" s="125">
        <f>IF(ISNUMBER(W17),W17," - ")</f>
        <v>10</v>
      </c>
      <c r="BD17" s="126">
        <f>IF(ISNUMBER(BA17/AZ17),BA17/AZ17," - ")</f>
        <v>0.79032258064516125</v>
      </c>
      <c r="BE17" s="127">
        <f>IF(ISNUMBER(BB17/BA17),BB17/BA17, " - ")</f>
        <v>2.1224489795918369</v>
      </c>
      <c r="BF17" s="127">
        <f>IF(ISNUMBER(BC17/BA17),BC17/BA17, " - ")</f>
        <v>0.20408163265306123</v>
      </c>
      <c r="BG17" s="195">
        <f>IF(ISNUMBER((AY17+AZ17)/BA17),(AY17+AZ17)/BA17," - ")</f>
        <v>3.1224489795918369</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1210</v>
      </c>
      <c r="J18" s="183">
        <f t="shared" si="15"/>
        <v>523</v>
      </c>
      <c r="K18" s="183">
        <f t="shared" si="15"/>
        <v>457</v>
      </c>
      <c r="L18" s="183">
        <f t="shared" si="15"/>
        <v>1278</v>
      </c>
      <c r="M18" s="183">
        <f t="shared" si="15"/>
        <v>76</v>
      </c>
      <c r="N18" s="183">
        <f t="shared" si="15"/>
        <v>246</v>
      </c>
      <c r="O18" s="183">
        <f t="shared" si="15"/>
        <v>0</v>
      </c>
      <c r="P18" s="183">
        <f t="shared" si="15"/>
        <v>0</v>
      </c>
      <c r="Q18" s="183">
        <f t="shared" si="15"/>
        <v>0</v>
      </c>
      <c r="R18" s="183">
        <f t="shared" si="15"/>
        <v>132</v>
      </c>
      <c r="S18" s="183">
        <f t="shared" si="15"/>
        <v>1222</v>
      </c>
      <c r="T18" s="183">
        <f t="shared" si="15"/>
        <v>430</v>
      </c>
      <c r="U18" s="183">
        <f t="shared" si="15"/>
        <v>467</v>
      </c>
      <c r="V18" s="183">
        <f t="shared" si="15"/>
        <v>1188</v>
      </c>
      <c r="W18" s="183">
        <f t="shared" si="15"/>
        <v>83</v>
      </c>
      <c r="X18" s="183">
        <f t="shared" si="15"/>
        <v>230</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1222</v>
      </c>
      <c r="AZ18" s="183">
        <f>SUBTOTAL(9,AZ14:AZ17)</f>
        <v>430</v>
      </c>
      <c r="BA18" s="183">
        <f>SUBTOTAL(9,BA14:BA17)</f>
        <v>467</v>
      </c>
      <c r="BB18" s="183">
        <f>SUBTOTAL(9,BB14:BB17)</f>
        <v>1188</v>
      </c>
      <c r="BC18" s="183">
        <f>SUBTOTAL(9,BC14:BC17)</f>
        <v>83</v>
      </c>
      <c r="BD18" s="204">
        <f>IF(ISNUMBER(BA18/AZ18),BA18/AZ18," - ")</f>
        <v>1.086046511627907</v>
      </c>
      <c r="BE18" s="205">
        <f>IF(ISNUMBER(BB18/BA18),BB18/BA18, " - ")</f>
        <v>2.54389721627409</v>
      </c>
      <c r="BF18" s="205">
        <f>IF(ISNUMBER(BC18/BA18),BC18/BA18, " - ")</f>
        <v>0.17773019271948609</v>
      </c>
      <c r="BG18" s="206">
        <f>IF(ISNUMBER((AY18+AZ18)/BA18),(AY18+AZ18)/BA18," - ")</f>
        <v>3.537473233404711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3842</v>
      </c>
      <c r="J19" s="134">
        <f t="shared" si="18"/>
        <v>880</v>
      </c>
      <c r="K19" s="134">
        <f t="shared" si="18"/>
        <v>981</v>
      </c>
      <c r="L19" s="134">
        <f t="shared" si="18"/>
        <v>3743</v>
      </c>
      <c r="M19" s="134">
        <f t="shared" si="18"/>
        <v>199</v>
      </c>
      <c r="N19" s="134">
        <f t="shared" si="18"/>
        <v>477</v>
      </c>
      <c r="O19" s="134">
        <f t="shared" si="18"/>
        <v>277</v>
      </c>
      <c r="P19" s="134">
        <f t="shared" si="18"/>
        <v>230</v>
      </c>
      <c r="Q19" s="134">
        <f t="shared" si="18"/>
        <v>74</v>
      </c>
      <c r="R19" s="134">
        <f t="shared" si="18"/>
        <v>2444</v>
      </c>
      <c r="S19" s="134">
        <f t="shared" si="18"/>
        <v>4106</v>
      </c>
      <c r="T19" s="134">
        <f t="shared" si="18"/>
        <v>1046</v>
      </c>
      <c r="U19" s="134">
        <f t="shared" si="18"/>
        <v>1055</v>
      </c>
      <c r="V19" s="134">
        <f t="shared" si="18"/>
        <v>4093</v>
      </c>
      <c r="W19" s="134">
        <f t="shared" si="18"/>
        <v>190</v>
      </c>
      <c r="X19" s="134">
        <f t="shared" si="18"/>
        <v>495</v>
      </c>
      <c r="Y19" s="134">
        <f t="shared" si="18"/>
        <v>92</v>
      </c>
      <c r="Z19" s="134">
        <f t="shared" si="18"/>
        <v>25</v>
      </c>
      <c r="AA19" s="134">
        <f t="shared" si="18"/>
        <v>57</v>
      </c>
      <c r="AB19" s="134">
        <f t="shared" si="18"/>
        <v>60</v>
      </c>
      <c r="AC19" s="134">
        <f t="shared" si="18"/>
        <v>0</v>
      </c>
      <c r="AD19" s="134">
        <f t="shared" si="18"/>
        <v>1</v>
      </c>
      <c r="AE19" s="134">
        <f t="shared" si="18"/>
        <v>1</v>
      </c>
      <c r="AF19" s="134">
        <f t="shared" si="18"/>
        <v>0</v>
      </c>
      <c r="AG19" s="134">
        <f t="shared" si="18"/>
        <v>58</v>
      </c>
      <c r="AH19" s="134">
        <f t="shared" si="18"/>
        <v>18</v>
      </c>
      <c r="AI19" s="134">
        <f t="shared" si="18"/>
        <v>24</v>
      </c>
      <c r="AJ19" s="134">
        <f t="shared" si="18"/>
        <v>52</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4164</v>
      </c>
      <c r="AZ19" s="134">
        <f>SUBTOTAL(9,AZ9:AZ18)</f>
        <v>1064</v>
      </c>
      <c r="BA19" s="134">
        <f>SUBTOTAL(9,BA9:BA18)</f>
        <v>1079</v>
      </c>
      <c r="BB19" s="134">
        <f>SUBTOTAL(9,BB9:BB18)</f>
        <v>4145</v>
      </c>
      <c r="BC19" s="135">
        <f>SUBTOTAL(9,BC9:BC18)</f>
        <v>348</v>
      </c>
      <c r="BD19" s="212">
        <f>IF(ISNUMBER(BA19/AZ19),BA19/AZ19," - ")</f>
        <v>1.0140977443609023</v>
      </c>
      <c r="BE19" s="209">
        <f>IF(ISNUMBER(BB19/BA19),BB19/BA19, " - ")</f>
        <v>3.8415199258572752</v>
      </c>
      <c r="BF19" s="209">
        <f>IF(ISNUMBER(BC19/BA19),BC19/BA19, " - ")</f>
        <v>0.32252085264133457</v>
      </c>
      <c r="BG19" s="135">
        <f>IF(ISNUMBER((AY19+AZ19)/BA19),(AY19+AZ19)/BA19," - ")</f>
        <v>4.8452270620945317</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oOzZR3Lp7ByWhrxCYnKAEcZvtoiEl46tFUZMmebbmy+3050F78O8vLSpXOO1ktDhZvmXIL7IZkpC39502fGQ==" saltValue="AEM4QoIMwIwx/ZhYiCQFs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c7pE7Yx/DY1zdGwETS5xgJ+/X9Z1C2UbBW7Xm7FFfZu0DcS2PNS6qfu3FWvwR1kZClgxktt+M6K77cW1znKw==" saltValue="Hq9KgouRZ4+UoZciH4SZ4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VALDEPEÑAS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28</v>
      </c>
      <c r="G10" s="332">
        <f>IF(ISNUMBER(Datos!I10),Datos!I10," - ")</f>
        <v>28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0</v>
      </c>
      <c r="AD10" s="333"/>
      <c r="AE10" s="483"/>
      <c r="AF10" s="331">
        <f>IF(ISNUMBER(Datos!L10),Datos!L10,"-")</f>
        <v>23</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1</v>
      </c>
      <c r="BE10" s="228" t="str">
        <f>IF(ISNUMBER(Datos!BW10),Datos!BW10," - ")</f>
        <v xml:space="preserve"> - </v>
      </c>
      <c r="BF10" s="227" t="str">
        <f>IF(ISNUMBER(Datos!BX10),Datos!BX10," - ")</f>
        <v xml:space="preserve"> - </v>
      </c>
      <c r="BG10" s="242">
        <f>IF(ISNUMBER(Datos!K10/Datos!J10),Datos!K10/Datos!J10," - ")</f>
        <v>6</v>
      </c>
      <c r="BH10" s="259">
        <f>IF(ISNUMBER(((Datos!L10/Datos!K10)*11)/factor_trimestre),((Datos!L10/Datos!K10)*11)/factor_trimestre," - ")</f>
        <v>11.500000000000002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25</v>
      </c>
      <c r="O12" s="333"/>
      <c r="P12" s="333"/>
      <c r="Q12" s="225">
        <f>IF(ISNUMBER(Datos!P12),Datos!P12,0)</f>
        <v>230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60</v>
      </c>
      <c r="AI12" s="333" t="str">
        <f>IF(ISNUMBER(Datos!CD12),Datos!CD12,"-")</f>
        <v>-</v>
      </c>
      <c r="AJ12" s="333" t="str">
        <f>IF(ISNUMBER(Datos!EN12),Datos!EN12," - ")</f>
        <v xml:space="preserve"> - </v>
      </c>
      <c r="AK12" s="333"/>
      <c r="AL12" s="478"/>
      <c r="AM12" s="334">
        <f>IF(ISNUMBER(Datos!R12),Datos!R12," - ")</f>
        <v>2312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120</v>
      </c>
      <c r="BD12" s="228">
        <f>IF(ISNUMBER(Datos!N12),Datos!N12," - ")</f>
        <v>230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1.5091863517060367</v>
      </c>
      <c r="BH12" s="259">
        <f>IF(ISNUMBER(((IF(J_V="SI",Datos!L12/Datos!K12,(Datos!L12+Datos!AB12)/(Datos!K12+Datos!AA12)))*11)/factor_trimestre),((IF(J_V="SI",Datos!L12/Datos!K12,(Datos!L12+Datos!AB12)/(Datos!K12+Datos!AA12)))*11)/factor_trimestre," - ")</f>
        <v>13.053913043478261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7.2356215213358069E-2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28</v>
      </c>
      <c r="G13" s="897">
        <f t="shared" si="0"/>
        <v>28</v>
      </c>
      <c r="H13" s="898">
        <f t="shared" si="0"/>
        <v>0</v>
      </c>
      <c r="I13" s="897">
        <f t="shared" si="0"/>
        <v>0</v>
      </c>
      <c r="J13" s="866">
        <f t="shared" si="0"/>
        <v>0</v>
      </c>
      <c r="K13" s="866">
        <f t="shared" si="0"/>
        <v>0</v>
      </c>
      <c r="L13" s="898">
        <f t="shared" si="0"/>
        <v>0</v>
      </c>
      <c r="M13" s="898">
        <f t="shared" si="0"/>
        <v>0</v>
      </c>
      <c r="N13" s="898">
        <f t="shared" si="0"/>
        <v>25</v>
      </c>
      <c r="O13" s="899">
        <f t="shared" si="0"/>
        <v>0</v>
      </c>
      <c r="P13" s="899">
        <f t="shared" si="0"/>
        <v>0</v>
      </c>
      <c r="Q13" s="898">
        <f t="shared" si="0"/>
        <v>230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74</v>
      </c>
      <c r="AD13" s="898">
        <f t="shared" si="1"/>
        <v>0</v>
      </c>
      <c r="AE13" s="898">
        <f t="shared" si="1"/>
        <v>0</v>
      </c>
      <c r="AF13" s="898">
        <f t="shared" si="1"/>
        <v>23</v>
      </c>
      <c r="AG13" s="898">
        <f t="shared" si="1"/>
        <v>0</v>
      </c>
      <c r="AH13" s="898">
        <f t="shared" si="1"/>
        <v>60</v>
      </c>
      <c r="AI13" s="898">
        <f t="shared" si="1"/>
        <v>0</v>
      </c>
      <c r="AJ13" s="898">
        <f t="shared" si="1"/>
        <v>0</v>
      </c>
      <c r="AK13" s="898">
        <f t="shared" si="1"/>
        <v>0</v>
      </c>
      <c r="AL13" s="898">
        <f t="shared" si="1"/>
        <v>0</v>
      </c>
      <c r="AM13" s="898">
        <f t="shared" si="1"/>
        <v>2312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123</v>
      </c>
      <c r="BD13" s="898">
        <f t="shared" si="1"/>
        <v>231</v>
      </c>
      <c r="BE13" s="898">
        <f t="shared" si="1"/>
        <v>0</v>
      </c>
      <c r="BF13" s="898">
        <f t="shared" si="1"/>
        <v>0</v>
      </c>
      <c r="BG13" s="898">
        <f>IF(ISNUMBER(Datos!K13/Datos!J13),Datos!K13/Datos!J13," - ")</f>
        <v>1.4677871148459383</v>
      </c>
      <c r="BH13" s="902">
        <f>IF(ISNUMBER(((Datos!L13/Datos!K13)*11)/factor_trimestre),((Datos!L13/Datos!K13)*11)/factor_trimestre," - ")</f>
        <v>14.112595419847327</v>
      </c>
      <c r="BI13" s="898">
        <f>IF(ISNUMBER('Resol  Asuntos'!D13/NºAsuntos!G13),'Resol  Asuntos'!D13/NºAsuntos!G13," - ")</f>
        <v>0.2117039586919105</v>
      </c>
      <c r="BJ13" s="898" t="str">
        <f>IF(ISNUMBER(Datos!CI13/Datos!CJ13),Datos!CI13/Datos!CJ13," - ")</f>
        <v xml:space="preserve"> - </v>
      </c>
      <c r="BK13" s="898">
        <f>SUBTOTAL(9,BK8:BK12)</f>
        <v>0</v>
      </c>
      <c r="BL13" s="898">
        <f>IF(ISNUMBER((I13-AB13+L13)/(F13)),(I13-AB13+L13)/(F13)," - ")</f>
        <v>-0.21428571428571427</v>
      </c>
      <c r="BM13" s="903">
        <f>SUBTOTAL(9,BM9:BM12)</f>
        <v>7.2356215213358069E-2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1114</v>
      </c>
      <c r="G16" s="597">
        <f>IF(ISNUMBER(IF(D_I="SI",Datos!I16,Datos!I16+Datos!AC16)),IF(D_I="SI",Datos!I16,Datos!I16+Datos!AC16)," - ")</f>
        <v>1112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404</v>
      </c>
      <c r="AC16" s="225">
        <f>IF(ISNUMBER(Datos!Q16),Datos!Q16," - ")</f>
        <v>0</v>
      </c>
      <c r="AD16" s="333"/>
      <c r="AE16" s="483"/>
      <c r="AF16" s="595">
        <f>IF(ISNUMBER(IF(D_I="SI",Datos!L16,Datos!L16+Datos!AF16)),IF(D_I="SI",Datos!L16,Datos!L16+Datos!AF16)," - ")</f>
        <v>1175</v>
      </c>
      <c r="AG16" s="333"/>
      <c r="AH16" s="333"/>
      <c r="AI16" s="333"/>
      <c r="AJ16" s="333"/>
      <c r="AK16" s="333"/>
      <c r="AL16" s="478"/>
      <c r="AM16" s="334">
        <f>IF(ISNUMBER(Datos!R16),Datos!R16," - ")</f>
        <v>132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66</v>
      </c>
      <c r="BD16" s="228">
        <f>IF(ISNUMBER(Datos!N16),Datos!N16," - ")</f>
        <v>215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0.86881720430107523</v>
      </c>
      <c r="BH16" s="259">
        <f>IF(ISNUMBER(((IF(D_I="SI",Datos!L16/Datos!K16,(Datos!L16+Datos!AF16)/(Datos!K16+Datos!AE16)))*11)/factor_trimestre),((IF(D_I="SI",Datos!L16/Datos!K16,(Datos!L16+Datos!AF16)/(Datos!K16+Datos!AE16)))*11)/factor_trimestre," - ")</f>
        <v>8.7252475247524757</v>
      </c>
      <c r="BI16" s="242">
        <f>IF(ISNUMBER('Resol  Asuntos'!D16/NºAsuntos!G16),'Resol  Asuntos'!D16/NºAsuntos!G16," - ")</f>
        <v>0.16336633663366337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53</v>
      </c>
      <c r="AC17" s="225">
        <f>IF(ISNUMBER(Datos!Q17),Datos!Q17," - ")</f>
        <v>0</v>
      </c>
      <c r="AD17" s="333"/>
      <c r="AE17" s="483"/>
      <c r="AF17" s="331">
        <f>IF(ISNUMBER(Datos!L17),Datos!L17,"-")</f>
        <v>103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10</v>
      </c>
      <c r="BD17" s="228">
        <f>IF(ISNUMBER(Datos!N17),Datos!N17," - ")</f>
        <v>31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0.91379310344827591</v>
      </c>
      <c r="BH17" s="259">
        <f>IF(ISNUMBER(((IF(D_I="SI",Datos!L17/Datos!K17,(Datos!L17+Datos!AF17)/(Datos!K17+Datos!AE17)))*11)/factor_trimestre),((IF(D_I="SI",Datos!L17/Datos!K17,(Datos!L17+Datos!AF17)/(Datos!K17+Datos!AE17)))*11)/factor_trimestre," - ")</f>
        <v>5.8301886792452837</v>
      </c>
      <c r="BI17" s="242">
        <f>IF(ISNUMBER('Resol  Asuntos'!D17/NºAsuntos!G17),'Resol  Asuntos'!D17/NºAsuntos!G17," - ")</f>
        <v>0.18867924528301888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1114</v>
      </c>
      <c r="G18" s="897">
        <f>SUBTOTAL(9,G15:G17)</f>
        <v>1210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457</v>
      </c>
      <c r="AC18" s="898">
        <f t="shared" si="4"/>
        <v>0</v>
      </c>
      <c r="AD18" s="898">
        <f t="shared" si="4"/>
        <v>0</v>
      </c>
      <c r="AE18" s="898">
        <f t="shared" si="4"/>
        <v>0</v>
      </c>
      <c r="AF18" s="898">
        <f t="shared" si="4"/>
        <v>1278</v>
      </c>
      <c r="AG18" s="898">
        <f t="shared" si="4"/>
        <v>0</v>
      </c>
      <c r="AH18" s="898">
        <f t="shared" si="4"/>
        <v>0</v>
      </c>
      <c r="AI18" s="898">
        <f t="shared" si="4"/>
        <v>0</v>
      </c>
      <c r="AJ18" s="898">
        <f t="shared" si="4"/>
        <v>0</v>
      </c>
      <c r="AK18" s="898">
        <f t="shared" si="4"/>
        <v>0</v>
      </c>
      <c r="AL18" s="898">
        <f t="shared" si="4"/>
        <v>0</v>
      </c>
      <c r="AM18" s="898">
        <f t="shared" si="4"/>
        <v>132</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76</v>
      </c>
      <c r="BD18" s="898">
        <f t="shared" si="4"/>
        <v>246</v>
      </c>
      <c r="BE18" s="898">
        <f t="shared" si="4"/>
        <v>0</v>
      </c>
      <c r="BF18" s="898">
        <f t="shared" si="4"/>
        <v>0</v>
      </c>
      <c r="BG18" s="898">
        <f>IF(ISNUMBER(Datos!K18/Datos!J18),Datos!K18/Datos!J18," - ")</f>
        <v>0.87380497131931167</v>
      </c>
      <c r="BH18" s="902">
        <f>IF(ISNUMBER(((Datos!L18/Datos!K18)*11)/factor_trimestre),((Datos!L18/Datos!K18)*11)/factor_trimestre," - ")</f>
        <v>8.3894967177242883</v>
      </c>
      <c r="BI18" s="898">
        <f>SUBTOTAL(9,BI15:BI17)</f>
        <v>0.35204558191668223</v>
      </c>
      <c r="BJ18" s="898">
        <f>SUBTOTAL(9,BJ15:BJ17)</f>
        <v>0</v>
      </c>
      <c r="BK18" s="898">
        <f>SUBTOTAL(9,BK15:BK17)</f>
        <v>0</v>
      </c>
      <c r="BL18" s="898">
        <f>IF(ISNUMBER((I18-AB18+L18)/(F18)),(I18-AB18+L18)/(F18)," - ")</f>
        <v>-0.41023339317773788</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1142</v>
      </c>
      <c r="G19" s="819">
        <f t="shared" si="6"/>
        <v>1238</v>
      </c>
      <c r="H19" s="821">
        <f t="shared" si="6"/>
        <v>0</v>
      </c>
      <c r="I19" s="819">
        <f t="shared" si="6"/>
        <v>0</v>
      </c>
      <c r="J19" s="821">
        <f t="shared" si="6"/>
        <v>0</v>
      </c>
      <c r="K19" s="821">
        <f t="shared" si="6"/>
        <v>0</v>
      </c>
      <c r="L19" s="880">
        <f t="shared" si="6"/>
        <v>0</v>
      </c>
      <c r="M19" s="880">
        <f t="shared" si="6"/>
        <v>0</v>
      </c>
      <c r="N19" s="880">
        <f t="shared" si="6"/>
        <v>25</v>
      </c>
      <c r="O19" s="880">
        <f t="shared" si="6"/>
        <v>0</v>
      </c>
      <c r="P19" s="880">
        <f t="shared" si="6"/>
        <v>0</v>
      </c>
      <c r="Q19" s="821">
        <f t="shared" si="6"/>
        <v>230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463</v>
      </c>
      <c r="AC19" s="820">
        <f t="shared" si="7"/>
        <v>74</v>
      </c>
      <c r="AD19" s="820">
        <f t="shared" si="7"/>
        <v>0</v>
      </c>
      <c r="AE19" s="820">
        <f t="shared" si="7"/>
        <v>0</v>
      </c>
      <c r="AF19" s="827">
        <f t="shared" si="7"/>
        <v>1301</v>
      </c>
      <c r="AG19" s="827">
        <f t="shared" si="7"/>
        <v>0</v>
      </c>
      <c r="AH19" s="827">
        <f t="shared" si="7"/>
        <v>60</v>
      </c>
      <c r="AI19" s="827">
        <f t="shared" si="7"/>
        <v>0</v>
      </c>
      <c r="AJ19" s="820">
        <f t="shared" si="7"/>
        <v>0</v>
      </c>
      <c r="AK19" s="827">
        <f t="shared" si="7"/>
        <v>0</v>
      </c>
      <c r="AL19" s="827">
        <f t="shared" si="7"/>
        <v>0</v>
      </c>
      <c r="AM19" s="827">
        <f t="shared" si="7"/>
        <v>2444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199</v>
      </c>
      <c r="BD19" s="819">
        <f t="shared" si="7"/>
        <v>477</v>
      </c>
      <c r="BE19" s="819">
        <f t="shared" si="7"/>
        <v>0</v>
      </c>
      <c r="BF19" s="829">
        <f t="shared" si="7"/>
        <v>0</v>
      </c>
      <c r="BG19" s="914">
        <f>IF(ISNUMBER(Datos!K19/Datos!J19),Datos!K19/Datos!J19," - ")</f>
        <v>1.1147727272727272</v>
      </c>
      <c r="BH19" s="914">
        <f>IF(ISNUMBER(((Datos!L19/Datos!K19)*11)/factor_trimestre),((Datos!L19/Datos!K19)*11)/factor_trimestre," - ")</f>
        <v>11.446483180428134</v>
      </c>
      <c r="BI19" s="812">
        <f>IF(ISNUMBER(Datos!J19/Datos!I19),Datos!J19/Datos!I19," - ")</f>
        <v>0.22904737116085372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-0.4054290718038529</v>
      </c>
      <c r="BM19" s="888">
        <f>IF(ISNUMBER((Datos!P19-Datos!Q19+R19)/(Datos!R19-Datos!P19+Datos!Q19-R19)),(Datos!P19-Datos!Q19+R19)/(Datos!R19-Datos!P19+Datos!Q19-R19)," - ")</f>
        <v>6.8181818181818177E-2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495.2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627.00239233993364</v>
      </c>
      <c r="G21" s="551">
        <f>IF(ISNUMBER(STDEV(G8:G18)),STDEV(G8:G18),"-")</f>
        <v>609.44663425110491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225.52760363201662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51.709444656335911</v>
      </c>
      <c r="BD21" s="550"/>
      <c r="BE21" s="550">
        <f>IF(ISNUMBER(STDEV(BE8:BE18)),STDEV(BE8:BE18),"-")</f>
        <v>0</v>
      </c>
      <c r="BF21" s="555">
        <f>IF(ISNUMBER(STDEV(BF8:BF18)),STDEV(BF8:BF18),"-")</f>
        <v>0</v>
      </c>
      <c r="BG21" s="774">
        <f>IF(ISNUMBER(STDEV(BG8:BG18)),STDEV(BG8:BG18),"-")</f>
        <v>2.0114414303775408</v>
      </c>
      <c r="BH21" s="775">
        <f>IF(ISNUMBER(STDEV(BH8:BH18)),STDEV(BH8:BH18),"-")</f>
        <v>3.1516051959057347</v>
      </c>
      <c r="BI21" s="248">
        <f>IF(ISNUMBER(STDEV(BI8:BI18)),STDEV(BI8:BI18),"-")</f>
        <v>8.4405566183523878E-2</v>
      </c>
      <c r="BJ21" s="229" t="str">
        <f>IF(ISNUMBER(BL21/BM21),BL21/BM21," - ")</f>
        <v xml:space="preserve"> - </v>
      </c>
      <c r="BK21" s="574"/>
      <c r="BL21" s="558">
        <f>IF(ISNUMBER(STDEV(BL8:BL18)),STDEV(BL8:BL18),"-")</f>
        <v>0.13855593250231396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LLw8aHLXTPhBBxwlmzM53tgfh944P124tl2s/QPA91wXF2zODW38atDoq1SPEDpcxV27fnUCP+PAIEwcCK72cw==" saltValue="8gtMk6dIikHm4tKwLbQF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VALDEPEÑAS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28</v>
      </c>
      <c r="G10" s="224">
        <f>IF(ISNUMBER(Datos!I10),Datos!I10," - ")</f>
        <v>28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0</v>
      </c>
      <c r="AA10" s="331">
        <f>IF(ISNUMBER(Datos!L10),Datos!L10,"-")</f>
        <v>23</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3</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11.500000000000002</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230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74</v>
      </c>
      <c r="AA12" s="331" t="str">
        <f>IF(ISNUMBER(IF(J_V="SI",Datos!L12,Datos!L12+Datos!AB12)-IF(Monitorios="SI",Datos!CD12,0)),
                          IF(J_V="SI",Datos!L12,Datos!L12+Datos!AB12)-IF(Monitorios="SI",Datos!CD12,0),
                          " - ")</f>
        <v xml:space="preserve"> - </v>
      </c>
      <c r="AB12" s="333"/>
      <c r="AC12" s="333"/>
      <c r="AD12" s="483"/>
      <c r="AE12" s="483">
        <f>IF(ISNUMBER(Datos!R12),Datos!R12," - ")</f>
        <v>2312</v>
      </c>
      <c r="AF12" s="228" t="str">
        <f>IF(ISNUMBER(Datos!BV12),Datos!BV12," - ")</f>
        <v xml:space="preserve"> - </v>
      </c>
      <c r="AG12" s="224" t="str">
        <f>IF(ISNUMBER(Datos!DV12),Datos!DV12," - ")</f>
        <v xml:space="preserve"> - </v>
      </c>
      <c r="AH12" s="297"/>
      <c r="AI12" s="226"/>
      <c r="AJ12" s="224">
        <f>IF(ISNUMBER(Datos!M12),Datos!M12," - ")</f>
        <v>120</v>
      </c>
      <c r="AK12" s="228">
        <f>IF(ISNUMBER(Datos!N12),Datos!N12," - ")</f>
        <v>230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13.053913043478261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7.2356215213358069E-2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28</v>
      </c>
      <c r="G13" s="897">
        <f>SUBTOTAL(9,G8:G12)</f>
        <v>28</v>
      </c>
      <c r="H13" s="907"/>
      <c r="I13" s="897">
        <f t="shared" ref="I13:N13" si="0">SUBTOTAL(9,I8:I12)</f>
        <v>0</v>
      </c>
      <c r="J13" s="866">
        <f t="shared" si="0"/>
        <v>0</v>
      </c>
      <c r="K13" s="907">
        <f t="shared" si="0"/>
        <v>0</v>
      </c>
      <c r="L13" s="907">
        <f t="shared" si="0"/>
        <v>0</v>
      </c>
      <c r="M13" s="907">
        <f t="shared" si="0"/>
        <v>0</v>
      </c>
      <c r="N13" s="907">
        <f t="shared" si="0"/>
        <v>230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74</v>
      </c>
      <c r="AA13" s="899">
        <f t="shared" si="2"/>
        <v>23</v>
      </c>
      <c r="AB13" s="899">
        <f t="shared" si="2"/>
        <v>0</v>
      </c>
      <c r="AC13" s="899">
        <f t="shared" si="2"/>
        <v>0</v>
      </c>
      <c r="AD13" s="899">
        <f t="shared" si="2"/>
        <v>0</v>
      </c>
      <c r="AE13" s="899">
        <f t="shared" si="2"/>
        <v>2312</v>
      </c>
      <c r="AF13" s="907">
        <f t="shared" si="2"/>
        <v>0</v>
      </c>
      <c r="AG13" s="907">
        <f t="shared" si="2"/>
        <v>0</v>
      </c>
      <c r="AH13" s="907">
        <f t="shared" si="2"/>
        <v>0</v>
      </c>
      <c r="AI13" s="907">
        <f t="shared" si="2"/>
        <v>0</v>
      </c>
      <c r="AJ13" s="907">
        <f t="shared" si="2"/>
        <v>123</v>
      </c>
      <c r="AK13" s="907">
        <f t="shared" si="2"/>
        <v>231</v>
      </c>
      <c r="AL13" s="907">
        <f t="shared" si="2"/>
        <v>0</v>
      </c>
      <c r="AM13" s="907">
        <f t="shared" si="2"/>
        <v>0</v>
      </c>
      <c r="AN13" s="907">
        <f t="shared" si="2"/>
        <v>0</v>
      </c>
      <c r="AO13" s="903">
        <f>IF(ISNUMBER(((NºAsuntos!I13/NºAsuntos!G13)*11)/factor_trimestre),((NºAsuntos!I13/NºAsuntos!G13)*11)/factor_trimestre," - ")</f>
        <v>13.037865748709123</v>
      </c>
      <c r="AP13" s="909" t="str">
        <f>IF(ISNUMBER(Datos!CI13/Datos!CJ13),Datos!CI13/Datos!CJ13," - ")</f>
        <v xml:space="preserve"> - </v>
      </c>
      <c r="AQ13" s="927">
        <f t="shared" ref="AQ13:AV13" si="3">SUBTOTAL(9,AQ9:AQ12)</f>
        <v>0</v>
      </c>
      <c r="AR13" s="927">
        <f t="shared" si="3"/>
        <v>7.2356215213358069E-2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1114</v>
      </c>
      <c r="G16" s="224">
        <f>IF(ISNUMBER(IF(D_I="SI",Datos!I16,Datos!I16+Datos!AC16)),IF(D_I="SI",Datos!I16,Datos!I16+Datos!AC16)," - ")</f>
        <v>1112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404</v>
      </c>
      <c r="Z16" s="618">
        <f>IF(ISNUMBER(Datos!Q16),Datos!Q16," - ")</f>
        <v>0</v>
      </c>
      <c r="AA16" s="331">
        <f>IF(ISNUMBER(IF(D_I="SI",Datos!L16,Datos!L16+Datos!AF16)),IF(D_I="SI",Datos!L16,Datos!L16+Datos!AF16)," - ")</f>
        <v>1175</v>
      </c>
      <c r="AB16" s="333"/>
      <c r="AC16" s="333"/>
      <c r="AD16" s="483"/>
      <c r="AE16" s="483">
        <f>IF(ISNUMBER(Datos!R16),Datos!R16," - ")</f>
        <v>132</v>
      </c>
      <c r="AF16" s="228" t="str">
        <f>IF(ISNUMBER(Datos!BV16),Datos!BV16," - ")</f>
        <v xml:space="preserve"> - </v>
      </c>
      <c r="AG16" s="224"/>
      <c r="AH16" s="297"/>
      <c r="AI16" s="226"/>
      <c r="AJ16" s="224">
        <f>IF(ISNUMBER(Datos!M16),Datos!M16," - ")</f>
        <v>66</v>
      </c>
      <c r="AK16" s="228">
        <f>IF(ISNUMBER(Datos!N16),Datos!N16," - ")</f>
        <v>215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8.7252475247524757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53</v>
      </c>
      <c r="Z17" s="618">
        <f>IF(ISNUMBER(Datos!Q17),Datos!Q17," - ")</f>
        <v>0</v>
      </c>
      <c r="AA17" s="331">
        <f>IF(ISNUMBER(Datos!L17),Datos!L17,"-")</f>
        <v>103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10</v>
      </c>
      <c r="AK17" s="228">
        <f>IF(ISNUMBER(Datos!N17),Datos!N17," - ")</f>
        <v>31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5.8301886792452837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1114</v>
      </c>
      <c r="G18" s="897">
        <f>SUBTOTAL(9,G15:G17)</f>
        <v>1210</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457</v>
      </c>
      <c r="Z18" s="931">
        <f t="shared" si="5"/>
        <v>0</v>
      </c>
      <c r="AA18" s="931">
        <f t="shared" si="5"/>
        <v>1278</v>
      </c>
      <c r="AB18" s="931">
        <f t="shared" si="5"/>
        <v>0</v>
      </c>
      <c r="AC18" s="931">
        <f t="shared" si="5"/>
        <v>0</v>
      </c>
      <c r="AD18" s="931">
        <f t="shared" si="5"/>
        <v>0</v>
      </c>
      <c r="AE18" s="931">
        <f t="shared" si="5"/>
        <v>132</v>
      </c>
      <c r="AF18" s="931">
        <f t="shared" si="5"/>
        <v>0</v>
      </c>
      <c r="AG18" s="931">
        <f t="shared" si="5"/>
        <v>0</v>
      </c>
      <c r="AH18" s="931">
        <f t="shared" si="5"/>
        <v>0</v>
      </c>
      <c r="AI18" s="931">
        <f t="shared" si="5"/>
        <v>0</v>
      </c>
      <c r="AJ18" s="931">
        <f t="shared" si="5"/>
        <v>76</v>
      </c>
      <c r="AK18" s="931">
        <f t="shared" si="5"/>
        <v>246</v>
      </c>
      <c r="AL18" s="931">
        <f t="shared" si="5"/>
        <v>0</v>
      </c>
      <c r="AM18" s="931">
        <f t="shared" si="5"/>
        <v>0</v>
      </c>
      <c r="AN18" s="931">
        <f t="shared" si="5"/>
        <v>0</v>
      </c>
      <c r="AO18" s="933">
        <f>IF(ISNUMBER(((NºAsuntos!I18/NºAsuntos!G18)*11)/factor_trimestre),((NºAsuntos!I18/NºAsuntos!G18)*11)/factor_trimestre," - ")</f>
        <v>8.3894967177242883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1142</v>
      </c>
      <c r="G19" s="819">
        <f t="shared" si="7"/>
        <v>1238</v>
      </c>
      <c r="H19" s="820">
        <f t="shared" si="7"/>
        <v>0</v>
      </c>
      <c r="I19" s="819">
        <f t="shared" si="7"/>
        <v>0</v>
      </c>
      <c r="J19" s="821">
        <f t="shared" si="7"/>
        <v>0</v>
      </c>
      <c r="K19" s="819">
        <f t="shared" si="7"/>
        <v>0</v>
      </c>
      <c r="L19" s="822">
        <f t="shared" si="7"/>
        <v>0</v>
      </c>
      <c r="M19" s="819">
        <f t="shared" si="7"/>
        <v>0</v>
      </c>
      <c r="N19" s="820">
        <f t="shared" si="7"/>
        <v>230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463</v>
      </c>
      <c r="Z19" s="826">
        <f t="shared" si="8"/>
        <v>74</v>
      </c>
      <c r="AA19" s="827">
        <f t="shared" si="8"/>
        <v>1301</v>
      </c>
      <c r="AB19" s="827">
        <f t="shared" si="8"/>
        <v>0</v>
      </c>
      <c r="AC19" s="827">
        <f t="shared" si="8"/>
        <v>0</v>
      </c>
      <c r="AD19" s="828">
        <f t="shared" si="8"/>
        <v>0</v>
      </c>
      <c r="AE19" s="828">
        <f t="shared" si="8"/>
        <v>2444</v>
      </c>
      <c r="AF19" s="829">
        <f t="shared" si="8"/>
        <v>0</v>
      </c>
      <c r="AG19" s="830">
        <f t="shared" si="8"/>
        <v>0</v>
      </c>
      <c r="AH19" s="831">
        <f t="shared" si="8"/>
        <v>0</v>
      </c>
      <c r="AI19" s="829">
        <f t="shared" si="8"/>
        <v>0</v>
      </c>
      <c r="AJ19" s="819">
        <f t="shared" si="8"/>
        <v>199</v>
      </c>
      <c r="AK19" s="819">
        <f t="shared" si="8"/>
        <v>477</v>
      </c>
      <c r="AL19" s="819">
        <f t="shared" si="8"/>
        <v>0</v>
      </c>
      <c r="AM19" s="832">
        <f t="shared" si="8"/>
        <v>0</v>
      </c>
      <c r="AN19" s="822">
        <f>IF(ISNUMBER(Datos!K19/Datos!J19),Datos!K19/Datos!J19," - ")</f>
        <v>1.1147727272727272</v>
      </c>
      <c r="AO19" s="822">
        <f>IF(ISNUMBER(FIND("06",Criterios!A8,1)),(IF(ISNUMBER(((Datos!R19/Datos!Q19)*11)/factor_trimestre),((Datos!R19/Datos!Q19)*11)/factor_trimestre," - ")),(IF(ISNUMBER(((Datos!L19/Datos!K19)*11)/factor_trimestre),((Datos!L19/Datos!K19)*11)/factor_trimestre," - ")))</f>
        <v>11.446483180428134</v>
      </c>
      <c r="AP19" s="833" t="str">
        <f>IF(ISNUMBER(Datos!CI19/Datos!CJ19),Datos!CI19/Datos!CJ19," - ")</f>
        <v xml:space="preserve"> - </v>
      </c>
      <c r="AQ19" s="833">
        <f>IF(OR(ISNUMBER(FIND("01",Criterios!A8,1)),ISNUMBER(FIND("02",Criterios!A8,1)),ISNUMBER(FIND("03",Criterios!A8,1)),ISNUMBER(FIND("04",Criterios!A8,1))),(J19-Y19+K19)/(F19-K19),(I19-Y19+K19)/(F19-K19))</f>
        <v>-0.4054290718038529</v>
      </c>
      <c r="AR19" s="833">
        <f>IF(ISNUMBER((Datos!P19-Datos!Q19+O19)/(Datos!R19-Datos!P19+Datos!Q19-O19)),(Datos!P19-Datos!Q19+O19)/(Datos!R19-Datos!P19+Datos!Q19-O19)," - ")</f>
        <v>6.8181818181818177E-2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495.2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627.00239233993364</v>
      </c>
      <c r="G21" s="551">
        <f>IF(ISNUMBER(STDEV(G8:G18)),STDEV(G8:G18),"-")</f>
        <v>609.44663425110491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51.709444656335911</v>
      </c>
      <c r="AK21" s="251"/>
      <c r="AL21" s="251">
        <f>IF(ISNUMBER(STDEV(AL8:AL18)),STDEV(AL8:AL18),"-")</f>
        <v>0</v>
      </c>
      <c r="AM21" s="253">
        <f>IF(ISNUMBER(STDEV(AM8:AM18)),STDEV(AM8:AM18),"-")</f>
        <v>0</v>
      </c>
      <c r="AN21" s="538">
        <f>IF(ISNUMBER(STDEV(AN8:AN18)),STDEV(AN8:AN18),"-")</f>
        <v>0</v>
      </c>
      <c r="AO21" s="539">
        <f>IF(ISNUMBER(STDEV(AO8:AO18)),STDEV(AO8:AO18),"-")</f>
        <v>2.9107746192287123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EhTmr6g41cPb2T10zuMINkiMwVlfp9zsOKYgN8esv7dnU42zDiVRZxECKtpz0wRY3/eMgKbDygxfuJTa9DCB1A==" saltValue="vkZawoZJFIbnfP61lIOQM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5JtKijiM1hCkJxfZ0jMaczQNf/vgzx5KxoTVVu67CqIe148K1J5EY3+c0AbxDxI67sXhM8464jlk57iWdI5RqQ==" saltValue="fwqiFCobkNnPvWTItWu/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itaz8R2NksKmhDdg7vuCt26KkMOnLpIgC2ZMk4eWyg/ENh64GXs7Peul5T/11eQTkWT/48xjJr/SDdnMyR5xg==" saltValue="o1V/DU1RNtEcZGGjFVCsy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VALDEPEÑAS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0.2117039586919105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0.14969730479508664</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OZ/QZPieuBxcAAbxZr07NBAfXU9OhQV0AGAZ9TcAnU+t1rDS/TN2KAfH3ruNsQqhctXcvc6Y/LdK5eH4PGoK5w==" saltValue="/NuxqdMLNrzRRaAnz+rtI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1+Mg4Ea1OvZfZ8aHvb4ip0HT/YgLE56VvD4RQbPYxrp+bZguyegf0eGvABG+sZiyRSUDS9Mw3RPVukgpW/P88g==" saltValue="J5xN9eegrOkeKO3GmTas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VALDEPEÑAS</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28</v>
      </c>
      <c r="D10" s="403">
        <f>IF(ISNUMBER(C10/Datos!BH10),C10/Datos!BH10," - ")</f>
        <v>28</v>
      </c>
      <c r="E10" s="402">
        <f>IF(ISNUMBER(Datos!J10),Datos!J10," - ")</f>
        <v>1</v>
      </c>
      <c r="F10" s="403">
        <f>IF(ISNUMBER(E10/B10),E10/B10," - ")</f>
        <v>1</v>
      </c>
      <c r="G10" s="402">
        <f>IF(ISNUMBER(Datos!K10),Datos!K10," - ")</f>
        <v>6</v>
      </c>
      <c r="H10" s="403">
        <f>IF(ISNUMBER(G10/B10),G10/B10," - ")</f>
        <v>6</v>
      </c>
      <c r="I10" s="402">
        <f>IF(ISNUMBER(Datos!L10),Datos!L10," - ")</f>
        <v>23</v>
      </c>
      <c r="J10" s="403">
        <f>IF(ISNUMBER(I10/B10),I10/B10," - ")</f>
        <v>23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2696</v>
      </c>
      <c r="D12" s="403">
        <f>IF(ISNUMBER(C12/Datos!BH12),C12/Datos!BH12," - ")</f>
        <v>1348</v>
      </c>
      <c r="E12" s="402">
        <f>IF(ISNUMBER(IF(J_V="SI",Datos!J12,Datos!J12+Datos!Z12)),IF(J_V="SI",Datos!J12,Datos!J12+Datos!Z12)," - ")</f>
        <v>381</v>
      </c>
      <c r="F12" s="403">
        <f>IF(ISNUMBER(E12/B12),E12/B12," - ")</f>
        <v>190.5</v>
      </c>
      <c r="G12" s="402">
        <f>IF(ISNUMBER(IF(J_V="SI",Datos!K12,Datos!K12+Datos!AA12)),IF(J_V="SI",Datos!K12,Datos!K12+Datos!AA12)," - ")</f>
        <v>575</v>
      </c>
      <c r="H12" s="403">
        <f>IF(ISNUMBER(G12/B12),G12/B12," - ")</f>
        <v>287.5</v>
      </c>
      <c r="I12" s="402">
        <f>IF(ISNUMBER(IF(J_V="SI",Datos!L12,Datos!L12+Datos!AB12)),IF(J_V="SI",Datos!L12,Datos!L12+Datos!AB12)," - ")</f>
        <v>2502</v>
      </c>
      <c r="J12" s="403">
        <f>IF(ISNUMBER(I12/B12),I12/B12," - ")</f>
        <v>1251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2724</v>
      </c>
      <c r="D13" s="849" t="str">
        <f>IF(ISNUMBER(C13/Datos!BI13),C13/Datos!BI13," - ")</f>
        <v xml:space="preserve"> - </v>
      </c>
      <c r="E13" s="848">
        <f>SUBTOTAL(9,E8:E12)</f>
        <v>382</v>
      </c>
      <c r="F13" s="849">
        <f>IF(ISNUMBER(E13/B13),E13/B13," - ")</f>
        <v>191</v>
      </c>
      <c r="G13" s="848">
        <f>SUBTOTAL(9,G8:G12)</f>
        <v>581</v>
      </c>
      <c r="H13" s="849">
        <f>IF(ISNUMBER(G13/B13),G13/B13," - ")</f>
        <v>290.5</v>
      </c>
      <c r="I13" s="848">
        <f>SUBTOTAL(9,I8:I12)</f>
        <v>2525</v>
      </c>
      <c r="J13" s="849">
        <f>IF(ISNUMBER(I13/B13),I13/B13," - ")</f>
        <v>1262.5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1112</v>
      </c>
      <c r="D16" s="403">
        <f>IF(ISNUMBER(C16/Datos!BH16),C16/Datos!BH16," - ")</f>
        <v>556</v>
      </c>
      <c r="E16" s="402">
        <f>IF(ISNUMBER(IF(D_I="SI",Datos!J16,Datos!J16+Datos!AD16)),IF(D_I="SI",Datos!J16,Datos!J16+Datos!AD16)," - ")</f>
        <v>465</v>
      </c>
      <c r="F16" s="403">
        <f>IF(ISNUMBER(E16/B16),E16/B16," - ")</f>
        <v>232.5</v>
      </c>
      <c r="G16" s="402">
        <f>IF(ISNUMBER(IF(D_I="SI",Datos!K16,Datos!K16+Datos!AE16)),IF(D_I="SI",Datos!K16,Datos!K16+Datos!AE16)," - ")</f>
        <v>404</v>
      </c>
      <c r="H16" s="403">
        <f>IF(ISNUMBER(G16/B16),G16/B16," - ")</f>
        <v>202</v>
      </c>
      <c r="I16" s="402">
        <f>IF(ISNUMBER(IF(D_I="SI",Datos!L16,Datos!L16+Datos!AF16)),IF(D_I="SI",Datos!L16,Datos!L16+Datos!AF16)," - ")</f>
        <v>1175</v>
      </c>
      <c r="J16" s="403">
        <f>IF(ISNUMBER(I16/B16),I16/B16," - ")</f>
        <v>587.5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98</v>
      </c>
      <c r="D17" s="403">
        <f>IF(ISNUMBER(C17/Datos!BH17),C17/Datos!BH17," - ")</f>
        <v>98</v>
      </c>
      <c r="E17" s="402">
        <f>IF(ISNUMBER(IF(D_I="SI",Datos!J17,Datos!J17+Datos!AD17)),IF(D_I="SI",Datos!J17,Datos!J17+Datos!AD17)," - ")</f>
        <v>58</v>
      </c>
      <c r="F17" s="403">
        <f>IF(ISNUMBER(E17/B17),E17/B17," - ")</f>
        <v>58</v>
      </c>
      <c r="G17" s="402">
        <f>IF(ISNUMBER(IF(D_I="SI",Datos!K17,Datos!K17+Datos!AE17)),IF(D_I="SI",Datos!K17,Datos!K17+Datos!AE17)," - ")</f>
        <v>53</v>
      </c>
      <c r="H17" s="403">
        <f>IF(ISNUMBER(G17/B17),G17/B17," - ")</f>
        <v>53</v>
      </c>
      <c r="I17" s="402">
        <f>IF(ISNUMBER(IF(D_I="SI",Datos!L17,Datos!L17+Datos!AF17)),IF(D_I="SI",Datos!L17,Datos!L17+Datos!AF17)," - ")</f>
        <v>103</v>
      </c>
      <c r="J17" s="403">
        <f>IF(ISNUMBER(I17/B17),I17/B17," - ")</f>
        <v>103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1210</v>
      </c>
      <c r="D18" s="849" t="str">
        <f>IF(ISNUMBER(C18/Datos!BI18),C18/Datos!BI18," - ")</f>
        <v xml:space="preserve"> - </v>
      </c>
      <c r="E18" s="848">
        <f>SUBTOTAL(9,E14:E17)</f>
        <v>523</v>
      </c>
      <c r="F18" s="849">
        <f>IF(ISNUMBER(E18/B18),E18/B18," - ")</f>
        <v>261.5</v>
      </c>
      <c r="G18" s="848">
        <f>SUBTOTAL(9,G14:G17)</f>
        <v>457</v>
      </c>
      <c r="H18" s="849">
        <f>IF(ISNUMBER(G18/B18),G18/B18," - ")</f>
        <v>228.5</v>
      </c>
      <c r="I18" s="848">
        <f>SUBTOTAL(9,I14:I17)</f>
        <v>1278</v>
      </c>
      <c r="J18" s="849">
        <f>IF(ISNUMBER(I18/B18),I18/B18," - ")</f>
        <v>639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3934</v>
      </c>
      <c r="D19" s="794" t="str">
        <f>IF(ISNUMBER(C19/Datos!BI19),C19/Datos!BI19," - ")</f>
        <v xml:space="preserve"> - </v>
      </c>
      <c r="E19" s="793">
        <f>SUBTOTAL(9,E9:E18)</f>
        <v>905</v>
      </c>
      <c r="F19" s="794">
        <f>IF(ISNUMBER(E19/B19),E19/B19," - ")</f>
        <v>452.5</v>
      </c>
      <c r="G19" s="793">
        <f>SUBTOTAL(9,G9:G18)</f>
        <v>1038</v>
      </c>
      <c r="H19" s="794">
        <f>IF(ISNUMBER(G19/B19),G19/B19," - ")</f>
        <v>519</v>
      </c>
      <c r="I19" s="793">
        <f>SUBTOTAL(9,I9:I18)</f>
        <v>3803</v>
      </c>
      <c r="J19" s="794">
        <f>IF(ISNUMBER(I19/B19),I19/B19," - ")</f>
        <v>1901.5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MAAHWMZgI/PYc+SXvvHtdwHc14dy2AbvxG5ynm+KPKs2AxD+nM3ewFsDEaOtweZpN1JjxlxZ8268HdVvAt+lLA==" saltValue="aOClw0mIA6SrR7LwSord4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VALDEPEÑAS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28</v>
      </c>
      <c r="G10" s="683">
        <f>IF(ISNUMBER(Datos!I10),Datos!I10," - ")</f>
        <v>28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23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11.500000000000002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230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2312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120</v>
      </c>
      <c r="AM12" s="689">
        <f>IF(ISNUMBER(Datos!N12+DatosP!N16),Datos!N12+DatosP!N16," - ")</f>
        <v>230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13.053913043478261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7.2356215213358069E-2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28</v>
      </c>
      <c r="G13" s="937">
        <f t="shared" si="0"/>
        <v>28</v>
      </c>
      <c r="H13" s="937">
        <f t="shared" si="0"/>
        <v>0</v>
      </c>
      <c r="I13" s="939">
        <f t="shared" si="0"/>
        <v>0</v>
      </c>
      <c r="J13" s="938">
        <f t="shared" si="0"/>
        <v>0</v>
      </c>
      <c r="K13" s="938">
        <f t="shared" si="0"/>
        <v>0</v>
      </c>
      <c r="L13" s="940">
        <f t="shared" si="0"/>
        <v>0</v>
      </c>
      <c r="M13" s="940">
        <f t="shared" si="0"/>
        <v>0</v>
      </c>
      <c r="N13" s="938">
        <f t="shared" si="0"/>
        <v>230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74</v>
      </c>
      <c r="AE13" s="938">
        <f t="shared" si="1"/>
        <v>0</v>
      </c>
      <c r="AF13" s="938">
        <f t="shared" si="1"/>
        <v>23</v>
      </c>
      <c r="AG13" s="938">
        <f t="shared" si="1"/>
        <v>0</v>
      </c>
      <c r="AH13" s="938">
        <f t="shared" si="1"/>
        <v>2312</v>
      </c>
      <c r="AI13" s="938">
        <f t="shared" si="1"/>
        <v>0</v>
      </c>
      <c r="AJ13" s="938">
        <f t="shared" si="1"/>
        <v>0</v>
      </c>
      <c r="AK13" s="938">
        <f t="shared" si="1"/>
        <v>0</v>
      </c>
      <c r="AL13" s="938">
        <f t="shared" si="1"/>
        <v>123</v>
      </c>
      <c r="AM13" s="938">
        <f t="shared" si="1"/>
        <v>231</v>
      </c>
      <c r="AN13" s="938">
        <f t="shared" si="1"/>
        <v>0</v>
      </c>
      <c r="AO13" s="938">
        <f t="shared" si="1"/>
        <v>0</v>
      </c>
      <c r="AP13" s="943">
        <f>IF(ISNUMBER(((Datos!L13/Datos!K13)*11)/factor_trimestre),((Datos!L13/Datos!K13)*11)/factor_trimestre," - ")</f>
        <v>14.112595419847327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-0.21428571428571427</v>
      </c>
      <c r="AU13" s="938" t="str">
        <f>IF(ISNUMBER((DatosP!#REF!-DatosP!#REF!+DatosP!#REF!)/(DatosP!#REF!+DatosP!#REF!-DatosP!#REF!-DatosP!#REF!)),(DatosP!#REF!-DatosP!#REF!+DatosP!#REF!)/(DatosP!#REF!+DatosP!#REF!-DatosP!#REF!-DatosP!#REF!)," - ")</f>
        <v xml:space="preserve"> - </v>
      </c>
      <c r="AV13" s="944">
        <f>SUBTOTAL(9,AV9:AV12)</f>
        <v>7.2356215213358069E-2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8.3894967177242883</v>
      </c>
      <c r="AQ18" s="943">
        <f>IF(ISNUMBER(((Datos!M18/Datos!L18)*11)/factor_trimestre),((Datos!M18/Datos!L18)*11)/factor_trimestre," - ")</f>
        <v>0.17840375586854462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-9.7488921713441659E-2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28</v>
      </c>
      <c r="G19" s="950">
        <f t="shared" si="4"/>
        <v>28</v>
      </c>
      <c r="H19" s="950">
        <f t="shared" si="4"/>
        <v>0</v>
      </c>
      <c r="I19" s="951">
        <f t="shared" si="4"/>
        <v>0</v>
      </c>
      <c r="J19" s="952">
        <f t="shared" si="4"/>
        <v>0</v>
      </c>
      <c r="K19" s="952">
        <f t="shared" si="4"/>
        <v>0</v>
      </c>
      <c r="L19" s="952">
        <f t="shared" si="4"/>
        <v>0</v>
      </c>
      <c r="M19" s="952">
        <f t="shared" si="4"/>
        <v>0</v>
      </c>
      <c r="N19" s="951">
        <f t="shared" si="4"/>
        <v>230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74</v>
      </c>
      <c r="AE19" s="956">
        <f t="shared" si="5"/>
        <v>0</v>
      </c>
      <c r="AF19" s="957">
        <f t="shared" si="5"/>
        <v>23</v>
      </c>
      <c r="AG19" s="957">
        <f t="shared" si="5"/>
        <v>0</v>
      </c>
      <c r="AH19" s="957">
        <f t="shared" si="5"/>
        <v>2312</v>
      </c>
      <c r="AI19" s="957">
        <f t="shared" si="5"/>
        <v>0</v>
      </c>
      <c r="AJ19" s="958">
        <f t="shared" si="5"/>
        <v>0</v>
      </c>
      <c r="AK19" s="958">
        <f t="shared" si="5"/>
        <v>0</v>
      </c>
      <c r="AL19" s="950">
        <f t="shared" si="5"/>
        <v>123</v>
      </c>
      <c r="AM19" s="950">
        <f t="shared" si="5"/>
        <v>231</v>
      </c>
      <c r="AN19" s="950">
        <f t="shared" si="5"/>
        <v>0</v>
      </c>
      <c r="AO19" s="950">
        <f t="shared" si="5"/>
        <v>0</v>
      </c>
      <c r="AP19" s="950">
        <f>IF(ISNUMBER(((Datos!L19/Datos!K19)*11)/factor_trimestre),((Datos!L19/Datos!K19)*11)/factor_trimestre," - ")</f>
        <v>11.446483180428134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-0.21428571428571427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6.8181818181818177E-2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18.666666666666668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16.165807537309522</v>
      </c>
      <c r="G21" s="736">
        <f>IF(ISNUMBER(STDEV(G8:G18)),STDEV(G8:G18),"-")</f>
        <v>16.165807537309522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69.303679555994719</v>
      </c>
      <c r="AM21" s="735"/>
      <c r="AN21" s="735">
        <f>IF(ISNUMBER(STDEV(AN8:AN18)),STDEV(AN8:AN18),"-")</f>
        <v>0</v>
      </c>
      <c r="AO21" s="741">
        <f>IF(ISNUMBER(STDEV(AO8:AO18)),STDEV(AO8:AO18),"-")</f>
        <v>0</v>
      </c>
      <c r="AP21" s="778">
        <f>IF(ISNUMBER(STDEV(AP8:AP18)),STDEV(AP8:AP18),"-")</f>
        <v>2.4924381976922607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Qu5WbNxPBiN6FeL6eFqxx7njwEIYTdIumlTaGVd6setVF9Rm0Hatp0D/E6qKQ7MkFhg1psNULH6uojtd2mpFPA==" saltValue="MY5ggilmwlRZ+pxuufYQp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VALDEPEÑAS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WhiW3PtVK8uGiApeLl2kz1eqvtHrbSCUjBBiEYaM3jgLB+QuWTZV2XiXY2w/H2ZqADUJndbRgcqHxLMu3nKiGg==" saltValue="+STA4Ci/Ea54RXBxWrCyR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VALDEPEÑAS</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120</v>
      </c>
      <c r="E12" s="403">
        <f t="shared" si="0"/>
        <v>60</v>
      </c>
      <c r="F12" s="402">
        <f>IF(ISNUMBER(Datos!N12),Datos!N12," - ")</f>
        <v>230</v>
      </c>
      <c r="G12" s="403">
        <f t="shared" si="1"/>
        <v>115</v>
      </c>
      <c r="H12" s="402">
        <f>IF(ISNUMBER(Datos!O12),Datos!O12," - ")</f>
        <v>277</v>
      </c>
      <c r="I12" s="403">
        <f t="shared" si="2"/>
        <v>138.5</v>
      </c>
      <c r="BZ12" s="1185">
        <f>Datos!EZ12</f>
        <v>0</v>
      </c>
    </row>
    <row r="13" spans="1:78" ht="14.25" thickTop="1" thickBot="1">
      <c r="A13" s="847" t="str">
        <f>Datos!A13</f>
        <v>TOTAL</v>
      </c>
      <c r="B13" s="848">
        <f>Datos!AP13</f>
        <v>2</v>
      </c>
      <c r="C13" s="850">
        <f>Datos!AR13</f>
        <v>2</v>
      </c>
      <c r="D13" s="848">
        <f>SUBTOTAL(9,D9:D12)</f>
        <v>123</v>
      </c>
      <c r="E13" s="849">
        <f t="shared" si="0"/>
        <v>61.5</v>
      </c>
      <c r="F13" s="848">
        <f>SUBTOTAL(9,F9:F12)</f>
        <v>231</v>
      </c>
      <c r="G13" s="849">
        <f t="shared" si="1"/>
        <v>115.5</v>
      </c>
      <c r="H13" s="848">
        <f>SUBTOTAL(9,H9:H12)</f>
        <v>277</v>
      </c>
      <c r="I13" s="849">
        <f>IF(ISNUMBER(H13/B13),H13/B13," - ")</f>
        <v>138.5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66</v>
      </c>
      <c r="E16" s="403">
        <f t="shared" si="3"/>
        <v>33</v>
      </c>
      <c r="F16" s="402">
        <f>IF(ISNUMBER(Datos!N16),Datos!N16," - ")</f>
        <v>215</v>
      </c>
      <c r="G16" s="403">
        <f t="shared" si="4"/>
        <v>107.5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10</v>
      </c>
      <c r="E17" s="403">
        <f>IF(ISNUMBER(D17/B17),D17/B17," - ")</f>
        <v>10</v>
      </c>
      <c r="F17" s="402">
        <f>IF(ISNUMBER(Datos!N17),Datos!N17," - ")</f>
        <v>31</v>
      </c>
      <c r="G17" s="403">
        <f>IF(ISNUMBER(F17/B17),F17/B17," - ")</f>
        <v>31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76</v>
      </c>
      <c r="E18" s="849">
        <f t="shared" si="3"/>
        <v>38</v>
      </c>
      <c r="F18" s="848">
        <f>SUBTOTAL(9,F15:F17)</f>
        <v>246</v>
      </c>
      <c r="G18" s="849">
        <f t="shared" si="4"/>
        <v>123</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199</v>
      </c>
      <c r="E19" s="794">
        <f>IF(ISNUMBER(D19/B19),D19/B19," - ")</f>
        <v>99.5</v>
      </c>
      <c r="F19" s="793">
        <f>SUBTOTAL(9,F8:F18)</f>
        <v>477</v>
      </c>
      <c r="G19" s="794">
        <f>IF(ISNUMBER(F19/B19),F19/B19," - ")</f>
        <v>238.5</v>
      </c>
      <c r="H19" s="793">
        <f>SUBTOTAL(9,H8:H18)</f>
        <v>277</v>
      </c>
      <c r="I19" s="794">
        <f>IF(ISNUMBER(H19/B19),H19/B19," - ")</f>
        <v>138.5</v>
      </c>
    </row>
    <row r="22" spans="1:78">
      <c r="A22" s="390" t="str">
        <f>Criterios!A4</f>
        <v>Fecha Informe: 17 mar. 2026</v>
      </c>
    </row>
    <row r="27" spans="1:78">
      <c r="A27" s="413"/>
    </row>
  </sheetData>
  <sheetProtection algorithmName="SHA-512" hashValue="jFWHGwdns/6Fs/RtzcOaKmHg01L3Jo3s8e1nMJGYhvi9EXxENBR1EEfrv3zFUJeOkWir1zbBu/KWaIFWIl/WhA==" saltValue="V0xvSWu3wLwUBqBkvT/B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VALDEPEÑAS</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230</v>
      </c>
      <c r="C12" s="433">
        <f>IF(ISNUMBER(Datos!Q12),Datos!Q12," - ")</f>
        <v>74</v>
      </c>
      <c r="D12" s="407">
        <f>IF(ISNUMBER(Datos!R12),Datos!R12," - ")</f>
        <v>2312</v>
      </c>
    </row>
    <row r="13" spans="1:4" ht="14.25" thickTop="1" thickBot="1">
      <c r="A13" s="847" t="str">
        <f>Datos!A13</f>
        <v>TOTAL</v>
      </c>
      <c r="B13" s="848">
        <f>SUBTOTAL(9,B9:B12)</f>
        <v>230</v>
      </c>
      <c r="C13" s="852">
        <f>SUBTOTAL(9,C9:C12)</f>
        <v>74</v>
      </c>
      <c r="D13" s="850">
        <f>SUBTOTAL(9,D9:D12)</f>
        <v>2312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0</v>
      </c>
      <c r="D16" s="407">
        <f>IF(ISNUMBER(Datos!R16),Datos!R16," - ")</f>
        <v>132</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0</v>
      </c>
      <c r="D18" s="850">
        <f>SUBTOTAL(9,D15:D17)</f>
        <v>132</v>
      </c>
    </row>
    <row r="19" spans="1:4" ht="16.5" customHeight="1" thickTop="1" thickBot="1">
      <c r="A19" s="792" t="str">
        <f>Datos!A19</f>
        <v>TOTAL JURISDICCIONES</v>
      </c>
      <c r="B19" s="797">
        <f>SUBTOTAL(9,B8:B18)</f>
        <v>230</v>
      </c>
      <c r="C19" s="798">
        <f>SUBTOTAL(9,C8:C18)</f>
        <v>74</v>
      </c>
      <c r="D19" s="799">
        <f>SUBTOTAL(9,D8:D18)</f>
        <v>2444</v>
      </c>
    </row>
    <row r="20" spans="1:4" ht="7.5" customHeight="1"/>
    <row r="21" spans="1:4" ht="6" customHeight="1"/>
    <row r="22" spans="1:4">
      <c r="A22" s="390" t="str">
        <f>Criterios!A4</f>
        <v>Fecha Informe: 17 mar. 2026</v>
      </c>
    </row>
    <row r="27" spans="1:4">
      <c r="A27" s="413"/>
    </row>
  </sheetData>
  <sheetProtection algorithmName="SHA-512" hashValue="JMQgX2yuwbSfm/0Cc3C1tCuswnNDBkzZ2mMeVRe8jEZZi2BCFO8V7UfT/FUNKhF2JYtb7RLSE34g7Fg8emTixw==" saltValue="WsVGLP1pE3mpStHZDEykU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VALDEPEÑAS</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3.7037037037037035E-2</v>
      </c>
      <c r="C10" s="455">
        <f>IF(ISNUMBER((Datos!J10-Datos!T10)/Datos!T10),(Datos!J10-Datos!T10)/Datos!T10," - ")</f>
        <v>-0.875</v>
      </c>
      <c r="D10" s="455">
        <f>IF(ISNUMBER((Datos!K10-Datos!U10)/Datos!U10),(Datos!K10-Datos!U10)/Datos!U10," - ")</f>
        <v>1</v>
      </c>
      <c r="E10" s="455">
        <f>IF(ISNUMBER((Datos!L10-Datos!V10)/Datos!V10),(Datos!L10-Datos!V10)/Datos!V10," - ")</f>
        <v>-0.28125</v>
      </c>
      <c r="F10" s="455">
        <f>IF(ISNUMBER((Datos!M10-Datos!W10)/Datos!W10),(Datos!M10-Datos!W10)/Datos!W10," - ")</f>
        <v>2</v>
      </c>
      <c r="G10" s="456">
        <f>IF(ISNUMBER((Datos!N10-Datos!X10)/Datos!X10),(Datos!N10-Datos!X10)/Datos!X10," - ")</f>
        <v>0</v>
      </c>
      <c r="H10" s="454">
        <f>IF(ISNUMBER(((NºAsuntos!G10/NºAsuntos!E10)-Datos!BD10)/Datos!BD10),((NºAsuntos!G10/NºAsuntos!E10)-Datos!BD10)/Datos!BD10," - ")</f>
        <v>15</v>
      </c>
      <c r="I10" s="455">
        <f>IF(ISNUMBER(((NºAsuntos!I10/NºAsuntos!G10)-Datos!BE10)/Datos!BE10),((NºAsuntos!I10/NºAsuntos!G10)-Datos!BE10)/Datos!BE10," - ")</f>
        <v>-0.64062499999999989</v>
      </c>
      <c r="J10" s="460">
        <f>IF(ISNUMBER((('Resol  Asuntos'!D10/NºAsuntos!G10)-Datos!BF10)/Datos!BF10),(('Resol  Asuntos'!D10/NºAsuntos!G10)-Datos!BF10)/Datos!BF10," - ")</f>
        <v>0.50000000000000011</v>
      </c>
      <c r="K10" s="461">
        <f>IF(ISNUMBER((((NºAsuntos!C10+NºAsuntos!E10)/NºAsuntos!G10)-Datos!BG10)/Datos!BG10),(((NºAsuntos!C10+NºAsuntos!E10)/NºAsuntos!G10)-Datos!BG10)/Datos!BG10," - ")</f>
        <v>-0.58571428571428574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-7.5128644939965697E-2</v>
      </c>
      <c r="C12" s="455">
        <f>IF(ISNUMBER(
   IF(J_V="SI",(Datos!J12-Datos!T12)/Datos!T12,(Datos!J12+Datos!Z12-(Datos!T12+Datos!AH12))/(Datos!T12+Datos!AH12))
     ),IF(J_V="SI",(Datos!J12-Datos!T12)/Datos!T12,(Datos!J12+Datos!Z12-(Datos!T12+Datos!AH12))/(Datos!T12+Datos!AH12))," - ")</f>
        <v>-0.39137380191693288</v>
      </c>
      <c r="D12" s="455">
        <f>IF(ISNUMBER(
   IF(J_V="SI",(Datos!K12-Datos!U12)/Datos!U12,(Datos!K12+Datos!AA12-(Datos!U12+Datos!AI12))/(Datos!U12+Datos!AI12))
     ),IF(J_V="SI",(Datos!K12-Datos!U12)/Datos!U12,(Datos!K12+Datos!AA12-(Datos!U12+Datos!AI12))/(Datos!U12+Datos!AI12))," - ")</f>
        <v>-5.5829228243021348E-2</v>
      </c>
      <c r="E12" s="455">
        <f>IF(ISNUMBER(
   IF(J_V="SI",(Datos!L12-Datos!V12)/Datos!V12,(Datos!L12+Datos!AB12-(Datos!V12+Datos!AJ12))/(Datos!V12+Datos!AJ12))
     ),IF(J_V="SI",(Datos!L12-Datos!V12)/Datos!V12,(Datos!L12+Datos!AB12-(Datos!V12+Datos!AJ12))/(Datos!V12+Datos!AJ12))," - ")</f>
        <v>-0.14461538461538462</v>
      </c>
      <c r="F12" s="455">
        <f>IF(ISNUMBER((Datos!M12-Datos!W12)/Datos!W12),(Datos!M12-Datos!W12)/Datos!W12," - ")</f>
        <v>0.13207547169811321</v>
      </c>
      <c r="G12" s="456">
        <f>IF(ISNUMBER((Datos!N12-Datos!X12)/Datos!X12),(Datos!N12-Datos!X12)/Datos!X12," - ")</f>
        <v>-0.12878787878787878</v>
      </c>
      <c r="H12" s="454">
        <f>IF(ISNUMBER(((NºAsuntos!G12/NºAsuntos!E12)-Datos!BD12)/Datos!BD12),((NºAsuntos!G12/NºAsuntos!E12)-Datos!BD12)/Datos!BD12," - ")</f>
        <v>0.55131470635136115</v>
      </c>
      <c r="I12" s="455">
        <f>IF(ISNUMBER(((NºAsuntos!I12/NºAsuntos!G12)-Datos!BE12)/Datos!BE12),((NºAsuntos!I12/NºAsuntos!G12)-Datos!BE12)/Datos!BE12," - ")</f>
        <v>-9.4036120401337853E-2</v>
      </c>
      <c r="J12" s="460">
        <f>IF(ISNUMBER((('Resol  Asuntos'!D12/NºAsuntos!G12)-Datos!BF12)/Datos!BF12),(('Resol  Asuntos'!D12/NºAsuntos!G12)-Datos!BF12)/Datos!BF12," - ")</f>
        <v>-0.51857707509881423</v>
      </c>
      <c r="K12" s="461">
        <f>IF(ISNUMBER((((NºAsuntos!C12+NºAsuntos!E12)/NºAsuntos!G12)-Datos!BG12)/Datos!BG12),(((NºAsuntos!C12+NºAsuntos!E12)/NºAsuntos!G12)-Datos!BG12)/Datos!BG12," - ")</f>
        <v>-7.9654236705425874E-2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-7.4099252209381378E-2</v>
      </c>
      <c r="C13" s="854">
        <f>IF(ISNUMBER(
   IF(J_V="SI",(Datos!J13-Datos!T13)/Datos!T13,(Datos!J13+Datos!Z13-(Datos!T13+Datos!AH13))/(Datos!T13+Datos!AH13))
     ),IF(J_V="SI",(Datos!J13-Datos!T13)/Datos!T13,(Datos!J13+Datos!Z13-(Datos!T13+Datos!AH13))/(Datos!T13+Datos!AH13))," - ")</f>
        <v>-0.39747634069400634</v>
      </c>
      <c r="D13" s="854">
        <f>IF(ISNUMBER(
   IF(J_V="SI",(Datos!K13-Datos!U13)/Datos!U13,(Datos!K13+Datos!AA13-(Datos!U13+Datos!AI13))/(Datos!U13+Datos!AI13))
     ),IF(J_V="SI",(Datos!K13-Datos!U13)/Datos!U13,(Datos!K13+Datos!AA13-(Datos!U13+Datos!AI13))/(Datos!U13+Datos!AI13))," - ")</f>
        <v>-5.0653594771241831E-2</v>
      </c>
      <c r="E13" s="854">
        <f>IF(ISNUMBER(
   IF(J_V="SI",(Datos!L13-Datos!V13)/Datos!V13,(Datos!L13+Datos!AB13-(Datos!V13+Datos!AJ13))/(Datos!V13+Datos!AJ13))
     ),IF(J_V="SI",(Datos!L13-Datos!V13)/Datos!V13,(Datos!L13+Datos!AB13-(Datos!V13+Datos!AJ13))/(Datos!V13+Datos!AJ13))," - ")</f>
        <v>-0.14609401420358473</v>
      </c>
      <c r="F13" s="855">
        <f>IF(ISNUMBER((Datos!M13-Datos!W13)/Datos!W13),(Datos!M13-Datos!W13)/Datos!W13," - ")</f>
        <v>0.14953271028037382</v>
      </c>
      <c r="G13" s="856">
        <f>IF(ISNUMBER((Datos!N13-Datos!X13)/Datos!X13),(Datos!N13-Datos!X13)/Datos!X13," - ")</f>
        <v>-0.12830188679245283</v>
      </c>
      <c r="H13" s="856">
        <f>IF(ISNUMBER(((NºAsuntos!G13/NºAsuntos!E13)-Datos!BD13)/Datos!BD13),((NºAsuntos!G13/NºAsuntos!E13)-Datos!BD13)/Datos!BD13," - ")</f>
        <v>0.57561680867809606</v>
      </c>
      <c r="I13" s="856">
        <f>IF(ISNUMBER(((NºAsuntos!I13/NºAsuntos!G13)-Datos!BE13)/Datos!BE13),((NºAsuntos!I13/NºAsuntos!G13)-Datos!BE13)/Datos!BE13," - ")</f>
        <v>-0.10053276539172779</v>
      </c>
      <c r="J13" s="856">
        <f>IF(ISNUMBER((('Resol  Asuntos'!D13/NºAsuntos!G13)-Datos!BF13)/Datos!BF13),(('Resol  Asuntos'!D13/NºAsuntos!G13)-Datos!BF13)/Datos!BF13," - ")</f>
        <v>-0.511083687851135</v>
      </c>
      <c r="K13" s="856">
        <f>IF(ISNUMBER((((NºAsuntos!C13+NºAsuntos!E13)/NºAsuntos!G13)-Datos!BG13)/Datos!BG13),(((NºAsuntos!C13+NºAsuntos!E13)/NºAsuntos!G13)-Datos!BG13)/Datos!BG13," - ")</f>
        <v>-8.5088195543439327E-2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-1.6799292661361626E-2</v>
      </c>
      <c r="C16" s="455">
        <f>IF(ISNUMBER(
   IF(D_I="SI",(Datos!J16-Datos!T16)/Datos!T16,(Datos!J16+Datos!AD16-(Datos!T16+Datos!AL16))/(Datos!T16+Datos!AL16))
     ),IF(D_I="SI",(Datos!J16-Datos!T16)/Datos!T16,(Datos!J16+Datos!AD16-(Datos!T16+Datos!AL16))/(Datos!T16+Datos!AL16))," - ")</f>
        <v>0.26358695652173914</v>
      </c>
      <c r="D16" s="455">
        <f>IF(ISNUMBER(
   IF(D_I="SI",(Datos!K16-Datos!U16)/Datos!U16,(Datos!K16+Datos!AE16-(Datos!U16+Datos!AM16))/(Datos!U16+Datos!AM16))
     ),IF(D_I="SI",(Datos!K16-Datos!U16)/Datos!U16,(Datos!K16+Datos!AE16-(Datos!U16+Datos!AM16))/(Datos!U16+Datos!AM16))," - ")</f>
        <v>-3.3492822966507178E-2</v>
      </c>
      <c r="E16" s="455">
        <f>IF(ISNUMBER(
   IF(D_I="SI",(Datos!L16-Datos!V16)/Datos!V16,(Datos!L16+Datos!AF16-(Datos!V16+Datos!AN16))/(Datos!V16+Datos!AN16))
     ),IF(D_I="SI",(Datos!L16-Datos!V16)/Datos!V16,(Datos!L16+Datos!AF16-(Datos!V16+Datos!AN16))/(Datos!V16+Datos!AN16))," - ")</f>
        <v>8.3948339483394835E-2</v>
      </c>
      <c r="F16" s="455">
        <f>IF(ISNUMBER((Datos!M16-Datos!W16)/Datos!W16),(Datos!M16-Datos!W16)/Datos!W16," - ")</f>
        <v>-9.5890410958904104E-2</v>
      </c>
      <c r="G16" s="456">
        <f>IF(ISNUMBER((Datos!N16-Datos!X16)/Datos!X16),(Datos!N16-Datos!X16)/Datos!X16," - ")</f>
        <v>3.864734299516908E-2</v>
      </c>
      <c r="H16" s="454">
        <f>IF(ISNUMBER(((NºAsuntos!G16/NºAsuntos!E16)-Datos!BD16)/Datos!BD16),((NºAsuntos!G16/NºAsuntos!E16)-Datos!BD16)/Datos!BD16," - ")</f>
        <v>-0.23510829860575197</v>
      </c>
      <c r="I16" s="455">
        <f>IF(ISNUMBER(((NºAsuntos!I16/NºAsuntos!G16)-Datos!BE16)/Datos!BE16),((NºAsuntos!I16/NºAsuntos!G16)-Datos!BE16)/Datos!BE16," - ")</f>
        <v>0.1215109057031165</v>
      </c>
      <c r="J16" s="460">
        <f>IF(ISNUMBER((('Resol  Asuntos'!D16/NºAsuntos!G16)-Datos!BF16)/Datos!BF16),(('Resol  Asuntos'!D16/NºAsuntos!G16)-Datos!BF16)/Datos!BF16," - ")</f>
        <v>-6.4559880645598741E-2</v>
      </c>
      <c r="K16" s="461">
        <f>IF(ISNUMBER((((NºAsuntos!C16+NºAsuntos!E16)/NºAsuntos!G16)-Datos!BG16)/Datos!BG16),(((NºAsuntos!C16+NºAsuntos!E16)/NºAsuntos!G16)-Datos!BG16)/Datos!BG16," - ")</f>
        <v>8.8491337459296396E-2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7.6923076923076927E-2</v>
      </c>
      <c r="C17" s="455">
        <f>IF(ISNUMBER(
   IF(D_I="SI",(Datos!J17-Datos!T17)/Datos!T17,(Datos!J17+Datos!AD17-(Datos!T17+Datos!AL17))/(Datos!T17+Datos!AL17))
     ),IF(D_I="SI",(Datos!J17-Datos!T17)/Datos!T17,(Datos!J17+Datos!AD17-(Datos!T17+Datos!AL17))/(Datos!T17+Datos!AL17))," - ")</f>
        <v>-6.4516129032258063E-2</v>
      </c>
      <c r="D17" s="455">
        <f>IF(ISNUMBER(
   IF(D_I="SI",(Datos!K17-Datos!U17)/Datos!U17,(Datos!K17+Datos!AE17-(Datos!U17+Datos!AM17))/(Datos!U17+Datos!AM17))
     ),IF(D_I="SI",(Datos!K17-Datos!U17)/Datos!U17,(Datos!K17+Datos!AE17-(Datos!U17+Datos!AM17))/(Datos!U17+Datos!AM17))," - ")</f>
        <v>8.1632653061224483E-2</v>
      </c>
      <c r="E17" s="455">
        <f>IF(ISNUMBER(
   IF(D_I="SI",(Datos!L17-Datos!V17)/Datos!V17,(Datos!L17+Datos!AF17-(Datos!V17+Datos!AN17))/(Datos!V17+Datos!AN17))
     ),IF(D_I="SI",(Datos!L17-Datos!V17)/Datos!V17,(Datos!L17+Datos!AF17-(Datos!V17+Datos!AN17))/(Datos!V17+Datos!AN17))," - ")</f>
        <v>-9.6153846153846159E-3</v>
      </c>
      <c r="F17" s="455">
        <f>IF(ISNUMBER((Datos!M17-Datos!W17)/Datos!W17),(Datos!M17-Datos!W17)/Datos!W17," - ")</f>
        <v>0</v>
      </c>
      <c r="G17" s="456">
        <f>IF(ISNUMBER((Datos!N17-Datos!X17)/Datos!X17),(Datos!N17-Datos!X17)/Datos!X17," - ")</f>
        <v>0.34782608695652173</v>
      </c>
      <c r="H17" s="454">
        <f>IF(ISNUMBER(((NºAsuntos!G17/NºAsuntos!E17)-Datos!BD17)/Datos!BD17),((NºAsuntos!G17/NºAsuntos!E17)-Datos!BD17)/Datos!BD17," - ")</f>
        <v>0.15622800844475732</v>
      </c>
      <c r="I17" s="455">
        <f>IF(ISNUMBER(((NºAsuntos!I17/NºAsuntos!G17)-Datos!BE17)/Datos!BE17),((NºAsuntos!I17/NºAsuntos!G17)-Datos!BE17)/Datos!BE17," - ")</f>
        <v>-8.4361393323657524E-2</v>
      </c>
      <c r="J17" s="460">
        <f>IF(ISNUMBER((('Resol  Asuntos'!D17/NºAsuntos!G17)-Datos!BF17)/Datos!BF17),(('Resol  Asuntos'!D17/NºAsuntos!G17)-Datos!BF17)/Datos!BF17," - ")</f>
        <v>-7.5471698113207503E-2</v>
      </c>
      <c r="K17" s="461">
        <f>IF(ISNUMBER((((NºAsuntos!C17+NºAsuntos!E17)/NºAsuntos!G17)-Datos!BG17)/Datos!BG17),(((NºAsuntos!C17+NºAsuntos!E17)/NºAsuntos!G17)-Datos!BG17)/Datos!BG17," - ")</f>
        <v>-5.7343692193858785E-2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-9.8199672667757774E-3</v>
      </c>
      <c r="C18" s="854">
        <f>IF(ISNUMBER(
   IF(Criterios!B14="SI",(Datos!J18-Datos!T18)/Datos!T18,(Datos!J18+Datos!AD18-(Datos!T18+Datos!AL18))/(Datos!T18+Datos!AL18))
     ),IF(Criterios!B14="SI",(Datos!J18-Datos!T18)/Datos!T18,(Datos!J18+Datos!AD18-(Datos!T18+Datos!AL18))/(Datos!T18+Datos!AL18))," - ")</f>
        <v>0.21627906976744185</v>
      </c>
      <c r="D18" s="854">
        <f>IF(ISNUMBER(
   IF(Criterios!B14="SI",(Datos!K18-Datos!U18)/Datos!U18,(Datos!K18+Datos!AE18-(Datos!U18+Datos!AM18))/(Datos!U18+Datos!AM18))
     ),IF(Criterios!B14="SI",(Datos!K18-Datos!U18)/Datos!U18,(Datos!K18+Datos!AE18-(Datos!U18+Datos!AM18))/(Datos!U18+Datos!AM18))," - ")</f>
        <v>-2.1413276231263382E-2</v>
      </c>
      <c r="E18" s="854">
        <f>IF(ISNUMBER(
   IF(Criterios!B14="SI",(Datos!L18-Datos!V18)/Datos!V18,(Datos!L18+Datos!AF18-(Datos!V18+Datos!AN18))/(Datos!V18+Datos!AN18))
     ),IF(Criterios!B14="SI",(Datos!L18-Datos!V18)/Datos!V18,(Datos!L18+Datos!AF18-(Datos!V18+Datos!AN18))/(Datos!V18+Datos!AN18))," - ")</f>
        <v>7.575757575757576E-2</v>
      </c>
      <c r="F18" s="855">
        <f>IF(ISNUMBER((Datos!M18-Datos!W18)/Datos!W18),(Datos!M18-Datos!W18)/Datos!W18," - ")</f>
        <v>-8.4337349397590355E-2</v>
      </c>
      <c r="G18" s="856">
        <f>IF(ISNUMBER((Datos!N18-Datos!X18)/Datos!X18),(Datos!N18-Datos!X18)/Datos!X18," - ")</f>
        <v>6.9565217391304349E-2</v>
      </c>
      <c r="H18" s="856">
        <f>IF(ISNUMBER(((NºAsuntos!G18/NºAsuntos!E18)-Datos!BD18)/Datos!BD18),((NºAsuntos!G18/NºAsuntos!E18)-Datos!BD18)/Datos!BD18," - ")</f>
        <v>-0.19542582940620126</v>
      </c>
      <c r="I18" s="856">
        <f>IF(ISNUMBER(((NºAsuntos!I18/NºAsuntos!G18)-Datos!BE18)/Datos!BE18),((NºAsuntos!I18/NºAsuntos!G18)-Datos!BE18)/Datos!BE18," - ")</f>
        <v>9.9297128837610174E-2</v>
      </c>
      <c r="J18" s="856">
        <f>IF(ISNUMBER((('Resol  Asuntos'!D18/NºAsuntos!G18)-Datos!BF18)/Datos!BF18),(('Resol  Asuntos'!D18/NºAsuntos!G18)-Datos!BF18)/Datos!BF18," - ")</f>
        <v>-6.4300967546334256E-2</v>
      </c>
      <c r="K18" s="856">
        <f>IF(ISNUMBER((((NºAsuntos!C18+NºAsuntos!E18)/NºAsuntos!G18)-Datos!BG18)/Datos!BG18),(((NºAsuntos!C18+NºAsuntos!E18)/NºAsuntos!G18)-Datos!BG18)/Datos!BG18," - ")</f>
        <v>7.1986213912186528E-2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-5.5235350624399618E-2</v>
      </c>
      <c r="C19" s="801">
        <f>IF(ISNUMBER(
   IF(J_V="SI",(Datos!J19-Datos!T19)/Datos!T19,(Datos!J19+Datos!Z19-(Datos!T19+Datos!AH19))/(Datos!T19+Datos!AH19))
     ),IF(J_V="SI",(Datos!J19-Datos!T19)/Datos!T19,(Datos!J19+Datos!Z19-(Datos!T19+Datos!AH19))/(Datos!T19+Datos!AH19))," - ")</f>
        <v>-0.14943609022556392</v>
      </c>
      <c r="D19" s="801">
        <f>IF(ISNUMBER(
   IF(J_V="SI",(Datos!K19-Datos!U19)/Datos!U19,(Datos!K19+Datos!AA19-(Datos!U19+Datos!AI19))/(Datos!U19+Datos!AI19))
     ),IF(J_V="SI",(Datos!K19-Datos!U19)/Datos!U19,(Datos!K19+Datos!AA19-(Datos!U19+Datos!AI19))/(Datos!U19+Datos!AI19))," - ")</f>
        <v>-3.7998146431881374E-2</v>
      </c>
      <c r="E19" s="801">
        <f>IF(ISNUMBER(
   IF(J_V="SI",(Datos!L19-Datos!V19)/Datos!V19,(Datos!L19+Datos!AB19-(Datos!V19+Datos!AJ19))/(Datos!V19+Datos!AJ19))
     ),IF(J_V="SI",(Datos!L19-Datos!V19)/Datos!V19,(Datos!L19+Datos!AB19-(Datos!V19+Datos!AJ19))/(Datos!V19+Datos!AJ19))," - ")</f>
        <v>-8.2509047044632092E-2</v>
      </c>
      <c r="F19" s="802">
        <f>IF(ISNUMBER((Datos!M19-Datos!W19)/Datos!W19),(Datos!M19-Datos!W19)/Datos!W19," - ")</f>
        <v>4.736842105263158E-2</v>
      </c>
      <c r="G19" s="803">
        <f>IF(ISNUMBER((Datos!N19-Datos!X19)/Datos!X19),(Datos!N19-Datos!X19)/Datos!X19," - ")</f>
        <v>-3.6363636363636362E-2</v>
      </c>
      <c r="H19" s="804">
        <f>IF(ISNUMBER((Tasas!B19-Datos!BD19)/Datos!BD19),(Tasas!B19-Datos!BD19)/Datos!BD19," - ")</f>
        <v>0.13101654386351175</v>
      </c>
      <c r="I19" s="805">
        <f>IF(ISNUMBER((Tasas!C19-Datos!BE19)/Datos!BE19),(Tasas!C19-Datos!BE19)/Datos!BE19," - ")</f>
        <v>-4.6269038305547232E-2</v>
      </c>
      <c r="J19" s="806">
        <f>IF(ISNUMBER((Tasas!D19-Datos!BF19)/Datos!BF19),(Tasas!D19-Datos!BF19)/Datos!BF19," - ")</f>
        <v>-0.40557382676677078</v>
      </c>
      <c r="K19" s="806">
        <f>IF(ISNUMBER((Tasas!E19-Datos!BG19)/Datos!BG19),(Tasas!E19-Datos!BG19)/Datos!BG19," - ")</f>
        <v>-3.7847008770028882E-2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5Sey8HJMNYjPOtvFTasrPvfiF3zzVBSkDWU/7GPnMMzUz1sQ8KVpyQVOmpuGoSpsDJbnjTxNvl5Zi1jyE3t6jw==" saltValue="QNbhDzatQL0AxIV/hx3L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VALDEPEÑAS</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6</v>
      </c>
      <c r="C10" s="442">
        <f>IF(ISNUMBER(NºAsuntos!I10/NºAsuntos!G10),NºAsuntos!I10/NºAsuntos!G10," - ")</f>
        <v>3.8333333333333335</v>
      </c>
      <c r="D10" s="443">
        <f>IF(ISNUMBER('Resol  Asuntos'!D10/NºAsuntos!G10),'Resol  Asuntos'!D10/NºAsuntos!G10," - ")</f>
        <v>0.5</v>
      </c>
      <c r="E10" s="444">
        <f>IF(ISNUMBER((NºAsuntos!C10+NºAsuntos!E10)/NºAsuntos!G10),(NºAsuntos!C10+NºAsuntos!E10)/NºAsuntos!G10," - ")</f>
        <v>4.833333333333333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1.5091863517060367</v>
      </c>
      <c r="C12" s="442">
        <f>IF(ISNUMBER(NºAsuntos!I12/NºAsuntos!G12),NºAsuntos!I12/NºAsuntos!G12," - ")</f>
        <v>4.3513043478260869</v>
      </c>
      <c r="D12" s="443">
        <f>IF(ISNUMBER('Resol  Asuntos'!D12/NºAsuntos!G12),'Resol  Asuntos'!D12/NºAsuntos!G12," - ")</f>
        <v>0.20869565217391303</v>
      </c>
      <c r="E12" s="444">
        <f>IF(ISNUMBER((NºAsuntos!C12+NºAsuntos!E12)/NºAsuntos!G12),(NºAsuntos!C12+NºAsuntos!E12)/NºAsuntos!G12," - ")</f>
        <v>5.3513043478260869</v>
      </c>
      <c r="G12" s="462"/>
    </row>
    <row r="13" spans="1:7" ht="14.25" thickTop="1" thickBot="1">
      <c r="A13" s="847" t="str">
        <f>Datos!A13</f>
        <v>TOTAL</v>
      </c>
      <c r="B13" s="857">
        <f>IF(ISNUMBER(NºAsuntos!G13/NºAsuntos!E13),NºAsuntos!G13/NºAsuntos!E13," - ")</f>
        <v>1.5209424083769634</v>
      </c>
      <c r="C13" s="858">
        <f>IF(ISNUMBER(NºAsuntos!I13/NºAsuntos!G13),NºAsuntos!I13/NºAsuntos!G13," - ")</f>
        <v>4.3459552495697071</v>
      </c>
      <c r="D13" s="859">
        <f>IF(ISNUMBER('Resol  Asuntos'!D13/NºAsuntos!G13),'Resol  Asuntos'!D13/NºAsuntos!G13," - ")</f>
        <v>0.2117039586919105</v>
      </c>
      <c r="E13" s="860">
        <f>IF(ISNUMBER((NºAsuntos!C13+NºAsuntos!E13)/NºAsuntos!G13),(NºAsuntos!C13+NºAsuntos!E13)/NºAsuntos!G13," - ")</f>
        <v>5.3459552495697071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0.86881720430107523</v>
      </c>
      <c r="C16" s="442">
        <f>IF(ISNUMBER(NºAsuntos!I16/NºAsuntos!G16),NºAsuntos!I16/NºAsuntos!G16," - ")</f>
        <v>2.9084158415841586</v>
      </c>
      <c r="D16" s="443">
        <f>IF(ISNUMBER('Resol  Asuntos'!D16/NºAsuntos!G16),'Resol  Asuntos'!D16/NºAsuntos!G16," - ")</f>
        <v>0.16336633663366337</v>
      </c>
      <c r="E16" s="444">
        <f>IF(ISNUMBER((NºAsuntos!C16+NºAsuntos!E16)/NºAsuntos!G16),(NºAsuntos!C16+NºAsuntos!E16)/NºAsuntos!G16," - ")</f>
        <v>3.9034653465346536</v>
      </c>
      <c r="G16" s="462"/>
    </row>
    <row r="17" spans="1:7" ht="21.75" thickBot="1">
      <c r="A17" s="401" t="str">
        <f>Datos!A17</f>
        <v>Jdos. Violencia contra la mujer/Secc Viol. TI.</v>
      </c>
      <c r="B17" s="441">
        <f>IF(ISNUMBER(NºAsuntos!G17/NºAsuntos!E17),NºAsuntos!G17/NºAsuntos!E17," - ")</f>
        <v>0.91379310344827591</v>
      </c>
      <c r="C17" s="442">
        <f>IF(ISNUMBER(NºAsuntos!I17/NºAsuntos!G17),NºAsuntos!I17/NºAsuntos!G17," - ")</f>
        <v>1.9433962264150944</v>
      </c>
      <c r="D17" s="443">
        <f>IF(ISNUMBER('Resol  Asuntos'!D17/NºAsuntos!G17),'Resol  Asuntos'!D17/NºAsuntos!G17," - ")</f>
        <v>0.18867924528301888</v>
      </c>
      <c r="E17" s="444">
        <f>IF(ISNUMBER((NºAsuntos!C17+NºAsuntos!E17)/NºAsuntos!G17),(NºAsuntos!C17+NºAsuntos!E17)/NºAsuntos!G17," - ")</f>
        <v>2.9433962264150941</v>
      </c>
      <c r="G17" s="462"/>
    </row>
    <row r="18" spans="1:7" ht="14.25" thickTop="1" thickBot="1">
      <c r="A18" s="847" t="str">
        <f>Datos!A18</f>
        <v>TOTAL</v>
      </c>
      <c r="B18" s="857">
        <f>IF(ISNUMBER(NºAsuntos!G18/NºAsuntos!E18),NºAsuntos!G18/NºAsuntos!E18," - ")</f>
        <v>0.87380497131931167</v>
      </c>
      <c r="C18" s="858">
        <f>IF(ISNUMBER(NºAsuntos!I18/NºAsuntos!G18),NºAsuntos!I18/NºAsuntos!G18," - ")</f>
        <v>2.7964989059080962</v>
      </c>
      <c r="D18" s="861">
        <f>IF(ISNUMBER('Resol  Asuntos'!D18/NºAsuntos!G18),'Resol  Asuntos'!D18/NºAsuntos!G18," - ")</f>
        <v>0.16630196936542668</v>
      </c>
      <c r="E18" s="860">
        <f>IF(ISNUMBER((NºAsuntos!C18+NºAsuntos!E18)/NºAsuntos!G18),(NºAsuntos!C18+NºAsuntos!E18)/NºAsuntos!G18," - ")</f>
        <v>3.7921225382932167</v>
      </c>
      <c r="G18" s="462"/>
    </row>
    <row r="19" spans="1:7" ht="15.75" customHeight="1" thickTop="1" thickBot="1">
      <c r="A19" s="792" t="str">
        <f>Datos!A19</f>
        <v>TOTAL JURISDICCIONES</v>
      </c>
      <c r="B19" s="807">
        <f>IF(ISNUMBER(NºAsuntos!G19/NºAsuntos!E19),NºAsuntos!G19/NºAsuntos!E19," - ")</f>
        <v>1.1469613259668507</v>
      </c>
      <c r="C19" s="808">
        <f>IF(ISNUMBER(NºAsuntos!I19/NºAsuntos!G19),NºAsuntos!I19/NºAsuntos!G19," - ")</f>
        <v>3.663776493256262</v>
      </c>
      <c r="D19" s="809">
        <f>IF(ISNUMBER('Resol  Asuntos'!D19/NºAsuntos!G19),'Resol  Asuntos'!D19/NºAsuntos!G19," - ")</f>
        <v>0.19171483622350674</v>
      </c>
      <c r="E19" s="810">
        <f>IF(ISNUMBER((NºAsuntos!C19+NºAsuntos!E19)/NºAsuntos!G19),(NºAsuntos!C19+NºAsuntos!E19)/NºAsuntos!G19," - ")</f>
        <v>4.6618497109826587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kMO64/5ICEOg6QWwfNVudHQJjH4CqJZKcN+iO7HQM913eQZdu48OqOOXmP2CwdV18XwiqkwYwZvO07i70OVQ==" saltValue="o55cMsvtM+q+zKHprl4oI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VALDEPEÑAS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28</v>
      </c>
      <c r="G10" s="332">
        <f>IF(ISNUMBER(Datos!I10),Datos!I10," - ")</f>
        <v>28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23</v>
      </c>
      <c r="AB10" s="333">
        <f>IF(ISNUMBER(Datos!R10),Datos!R10," - ")</f>
        <v>0</v>
      </c>
      <c r="AC10" s="333">
        <f t="shared" ref="AC10:AC12" si="1">IF(ISNUMBER(AA10+AB10),AA10+AB10," - ")</f>
        <v>23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6</v>
      </c>
      <c r="AM10" s="259">
        <f>IF(ISNUMBER(((NºAsuntos!I10/NºAsuntos!G10)*11)/factor_trimestre),((NºAsuntos!I10/NºAsuntos!G10)*11)/factor_trimestre," - ")</f>
        <v>11.500000000000002</v>
      </c>
      <c r="AN10" s="243">
        <f>IF(ISNUMBER('Resol  Asuntos'!D10/NºAsuntos!G10),'Resol  Asuntos'!D10/NºAsuntos!G10," - ")</f>
        <v>0.5</v>
      </c>
      <c r="AO10" s="244">
        <f>IF(ISNUMBER((NºAsuntos!C10+NºAsuntos!E10)/NºAsuntos!G10),(NºAsuntos!C10+NºAsuntos!E10)/NºAsuntos!G10," - ")</f>
        <v>4.833333333333333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230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74</v>
      </c>
      <c r="Y12" s="333">
        <f t="shared" si="0"/>
        <v>74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2312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120</v>
      </c>
      <c r="AJ12" s="228" t="str">
        <f>IF(ISNUMBER(Datos!BW12),Datos!BW12," - ")</f>
        <v xml:space="preserve"> - </v>
      </c>
      <c r="AK12" s="227" t="str">
        <f>IF(ISNUMBER(Datos!BX12),Datos!BX12," - ")</f>
        <v xml:space="preserve"> - </v>
      </c>
      <c r="AL12" s="242">
        <f>IF(ISNUMBER(NºAsuntos!G12/NºAsuntos!E12),NºAsuntos!G12/NºAsuntos!E12," - ")</f>
        <v>1.5091863517060367</v>
      </c>
      <c r="AM12" s="259">
        <f>IF(ISNUMBER(((NºAsuntos!I12/NºAsuntos!G12)*11)/factor_trimestre),((NºAsuntos!I12/NºAsuntos!G12)*11)/factor_trimestre," - ")</f>
        <v>13.053913043478261</v>
      </c>
      <c r="AN12" s="243">
        <f>IF(ISNUMBER('Resol  Asuntos'!D12/NºAsuntos!G12),'Resol  Asuntos'!D12/NºAsuntos!G12," - ")</f>
        <v>0.20869565217391303</v>
      </c>
      <c r="AO12" s="244">
        <f>IF(ISNUMBER((NºAsuntos!C12+NºAsuntos!E12)/NºAsuntos!G12),(NºAsuntos!C12+NºAsuntos!E12)/NºAsuntos!G12," - ")</f>
        <v>5.3513043478260869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28</v>
      </c>
      <c r="G13" s="865">
        <f t="shared" si="3"/>
        <v>28</v>
      </c>
      <c r="H13" s="864">
        <f t="shared" si="3"/>
        <v>0</v>
      </c>
      <c r="I13" s="866">
        <f t="shared" si="3"/>
        <v>0</v>
      </c>
      <c r="J13" s="866">
        <f t="shared" si="3"/>
        <v>0</v>
      </c>
      <c r="K13" s="866">
        <f t="shared" si="3"/>
        <v>0</v>
      </c>
      <c r="L13" s="866">
        <f t="shared" si="3"/>
        <v>230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74</v>
      </c>
      <c r="Y13" s="867">
        <f t="shared" si="4"/>
        <v>80</v>
      </c>
      <c r="Z13" s="867">
        <f t="shared" si="4"/>
        <v>0</v>
      </c>
      <c r="AA13" s="867">
        <f t="shared" si="4"/>
        <v>23</v>
      </c>
      <c r="AB13" s="867">
        <f t="shared" si="4"/>
        <v>2312</v>
      </c>
      <c r="AC13" s="867">
        <f t="shared" si="4"/>
        <v>23</v>
      </c>
      <c r="AD13" s="867">
        <f t="shared" si="4"/>
        <v>0</v>
      </c>
      <c r="AE13" s="871">
        <f t="shared" si="4"/>
        <v>0</v>
      </c>
      <c r="AF13" s="864">
        <f t="shared" si="4"/>
        <v>0</v>
      </c>
      <c r="AG13" s="872">
        <f t="shared" si="4"/>
        <v>0</v>
      </c>
      <c r="AH13" s="869">
        <f t="shared" si="4"/>
        <v>0</v>
      </c>
      <c r="AI13" s="864">
        <f t="shared" si="4"/>
        <v>123</v>
      </c>
      <c r="AJ13" s="866">
        <f t="shared" si="4"/>
        <v>0</v>
      </c>
      <c r="AK13" s="869">
        <f>SUBTOTAL(9,AK9:AK12)</f>
        <v>0</v>
      </c>
      <c r="AL13" s="873">
        <f>IF(ISNUMBER(NºAsuntos!G13/NºAsuntos!E13),NºAsuntos!G13/NºAsuntos!E13," - ")</f>
        <v>1.5209424083769634</v>
      </c>
      <c r="AM13" s="873">
        <f>IF(ISNUMBER(((NºAsuntos!I13/NºAsuntos!G13)*11)/factor_trimestre),((NºAsuntos!I13/NºAsuntos!G13)*11)/factor_trimestre," - ")</f>
        <v>13.037865748709123</v>
      </c>
      <c r="AN13" s="874">
        <f>IF(ISNUMBER('Resol  Asuntos'!D13/NºAsuntos!G13),'Resol  Asuntos'!D13/NºAsuntos!G13," - ")</f>
        <v>0.2117039586919105</v>
      </c>
      <c r="AO13" s="875">
        <f>IF(ISNUMBER((NºAsuntos!C13+NºAsuntos!E13)/NºAsuntos!G13),(NºAsuntos!C13+NºAsuntos!E13)/NºAsuntos!G13," - ")</f>
        <v>5.3459552495697071</v>
      </c>
      <c r="AP13" s="876" t="str">
        <f t="shared" si="2"/>
        <v xml:space="preserve"> - </v>
      </c>
      <c r="AQ13" s="876">
        <f>IF(ISNUMBER((H13-W13+K13)/(F13)),(H13-W13+K13)/(F13)," - ")</f>
        <v>-0.21428571428571427</v>
      </c>
      <c r="AR13" s="877">
        <f>IF(ISNUMBER((Datos!P13-Datos!Q13)/(Datos!R13-Datos!P13+Datos!Q13)),(Datos!P13-Datos!Q13)/(Datos!R13-Datos!P13+Datos!Q13)," - ")</f>
        <v>7.2356215213358069E-2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1114</v>
      </c>
      <c r="G16" s="332">
        <f>IF(ISNUMBER(IF(D_I="SI",Datos!I16,Datos!I16+Datos!AC16)),IF(D_I="SI",Datos!I16,Datos!I16+Datos!AC16)," - ")</f>
        <v>1112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404</v>
      </c>
      <c r="X16" s="225">
        <f>IF(ISNUMBER(Datos!Q16),Datos!Q16," - ")</f>
        <v>0</v>
      </c>
      <c r="Y16" s="333">
        <f t="shared" ref="Y16:Y17" si="7">SUM(W16:X16)</f>
        <v>404</v>
      </c>
      <c r="Z16" s="334" t="str">
        <f>IF(ISNUMBER(Datos!CC16),Datos!CC16," - ")</f>
        <v xml:space="preserve"> - </v>
      </c>
      <c r="AA16" s="331">
        <f>IF(ISNUMBER(IF(D_I="SI",Datos!L16,Datos!L16+Datos!AF16)),IF(D_I="SI",Datos!L16,Datos!L16+Datos!AF16)," - ")</f>
        <v>1175</v>
      </c>
      <c r="AB16" s="333">
        <f>IF(ISNUMBER(Datos!R16),Datos!R16," - ")</f>
        <v>132</v>
      </c>
      <c r="AC16" s="333">
        <f t="shared" si="6"/>
        <v>1307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66</v>
      </c>
      <c r="AJ16" s="230" t="str">
        <f>IF(ISNUMBER(Datos!BW16),Datos!BW16," - ")</f>
        <v xml:space="preserve"> - </v>
      </c>
      <c r="AK16" s="231" t="str">
        <f>IF(ISNUMBER(Datos!BX16),Datos!BX16," - ")</f>
        <v xml:space="preserve"> - </v>
      </c>
      <c r="AL16" s="242">
        <f>IF(ISNUMBER(NºAsuntos!G16/NºAsuntos!E16),NºAsuntos!G16/NºAsuntos!E16," - ")</f>
        <v>0.86881720430107523</v>
      </c>
      <c r="AM16" s="259">
        <f>IF(ISNUMBER(((NºAsuntos!I16/NºAsuntos!G16)*11)/factor_trimestre),((NºAsuntos!I16/NºAsuntos!G16)*11)/factor_trimestre," - ")</f>
        <v>8.7252475247524757</v>
      </c>
      <c r="AN16" s="243">
        <f>IF(ISNUMBER('Resol  Asuntos'!D16/NºAsuntos!G16),'Resol  Asuntos'!D16/NºAsuntos!G16," - ")</f>
        <v>0.16336633663366337</v>
      </c>
      <c r="AO16" s="244">
        <f>IF(ISNUMBER((NºAsuntos!C16+NºAsuntos!E16)/NºAsuntos!G16),(NºAsuntos!C16+NºAsuntos!E16)/NºAsuntos!G16," - ")</f>
        <v>3.9034653465346536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53</v>
      </c>
      <c r="X17" s="225">
        <f>IF(ISNUMBER(Datos!Q17),Datos!Q17," - ")</f>
        <v>0</v>
      </c>
      <c r="Y17" s="333">
        <f t="shared" si="7"/>
        <v>53</v>
      </c>
      <c r="Z17" s="334" t="str">
        <f>IF(ISNUMBER(Datos!CC17),Datos!CC17," - ")</f>
        <v xml:space="preserve"> - </v>
      </c>
      <c r="AA17" s="331">
        <f>IF(ISNUMBER(Datos!L17),Datos!L17,"-")</f>
        <v>103</v>
      </c>
      <c r="AB17" s="333">
        <f>IF(ISNUMBER(Datos!R17),Datos!R17," - ")</f>
        <v>0</v>
      </c>
      <c r="AC17" s="333">
        <f t="shared" si="6"/>
        <v>103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v>
      </c>
      <c r="AJ17" s="230" t="str">
        <f>IF(ISNUMBER(Datos!BW17),Datos!BW17," - ")</f>
        <v xml:space="preserve"> - </v>
      </c>
      <c r="AK17" s="231" t="str">
        <f>IF(ISNUMBER(Datos!BX17),Datos!BX17," - ")</f>
        <v xml:space="preserve"> - </v>
      </c>
      <c r="AL17" s="242">
        <f>IF(ISNUMBER(NºAsuntos!G17/NºAsuntos!E17),NºAsuntos!G17/NºAsuntos!E17," - ")</f>
        <v>0.91379310344827591</v>
      </c>
      <c r="AM17" s="259">
        <f>IF(ISNUMBER(((NºAsuntos!I17/NºAsuntos!G17)*11)/factor_trimestre),((NºAsuntos!I17/NºAsuntos!G17)*11)/factor_trimestre," - ")</f>
        <v>5.8301886792452837</v>
      </c>
      <c r="AN17" s="243">
        <f>IF(ISNUMBER('Resol  Asuntos'!D17/NºAsuntos!G17),'Resol  Asuntos'!D17/NºAsuntos!G17," - ")</f>
        <v>0.18867924528301888</v>
      </c>
      <c r="AO17" s="244">
        <f>IF(ISNUMBER((NºAsuntos!C17+NºAsuntos!E17)/NºAsuntos!G17),(NºAsuntos!C17+NºAsuntos!E17)/NºAsuntos!G17," - ")</f>
        <v>2.9433962264150941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1114</v>
      </c>
      <c r="G18" s="865">
        <f>SUBTOTAL(9,G15:G17)</f>
        <v>1210</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457</v>
      </c>
      <c r="X18" s="866">
        <f t="shared" si="11"/>
        <v>0</v>
      </c>
      <c r="Y18" s="867">
        <f t="shared" si="11"/>
        <v>457</v>
      </c>
      <c r="Z18" s="867">
        <f t="shared" si="11"/>
        <v>0</v>
      </c>
      <c r="AA18" s="867">
        <f t="shared" si="11"/>
        <v>1278</v>
      </c>
      <c r="AB18" s="867">
        <f t="shared" si="11"/>
        <v>132</v>
      </c>
      <c r="AC18" s="867">
        <f t="shared" si="11"/>
        <v>1410</v>
      </c>
      <c r="AD18" s="867">
        <f t="shared" si="11"/>
        <v>0</v>
      </c>
      <c r="AE18" s="871">
        <f t="shared" si="11"/>
        <v>0</v>
      </c>
      <c r="AF18" s="864">
        <f t="shared" si="11"/>
        <v>0</v>
      </c>
      <c r="AG18" s="872">
        <f t="shared" si="11"/>
        <v>0</v>
      </c>
      <c r="AH18" s="869">
        <f t="shared" si="11"/>
        <v>0</v>
      </c>
      <c r="AI18" s="864">
        <f t="shared" si="11"/>
        <v>76</v>
      </c>
      <c r="AJ18" s="866">
        <f t="shared" si="11"/>
        <v>0</v>
      </c>
      <c r="AK18" s="869">
        <f t="shared" si="11"/>
        <v>0</v>
      </c>
      <c r="AL18" s="873">
        <f>IF(ISNUMBER(NºAsuntos!G18/NºAsuntos!E18),NºAsuntos!G18/NºAsuntos!E18," - ")</f>
        <v>0.87380497131931167</v>
      </c>
      <c r="AM18" s="873">
        <f>IF(ISNUMBER(((NºAsuntos!I18/NºAsuntos!G18)*11)/factor_trimestre),((NºAsuntos!I18/NºAsuntos!G18)*11)/factor_trimestre," - ")</f>
        <v>8.3894967177242883</v>
      </c>
      <c r="AN18" s="874">
        <f>IF(ISNUMBER('Resol  Asuntos'!D18/NºAsuntos!G18),'Resol  Asuntos'!D18/NºAsuntos!G18," - ")</f>
        <v>0.16630196936542668</v>
      </c>
      <c r="AO18" s="875">
        <f>IF(ISNUMBER((NºAsuntos!C18+NºAsuntos!E18)/NºAsuntos!G18),(NºAsuntos!C18+NºAsuntos!E18)/NºAsuntos!G18," - ")</f>
        <v>3.7921225382932167</v>
      </c>
      <c r="AP18" s="876" t="str">
        <f t="shared" si="2"/>
        <v xml:space="preserve"> - </v>
      </c>
      <c r="AQ18" s="876">
        <f>IF(ISNUMBER((H18-W18+K18)/(F18)),(H18-W18+K18)/(F18)," - ")</f>
        <v>-0.41023339317773788</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1142</v>
      </c>
      <c r="G19" s="820">
        <f t="shared" si="13"/>
        <v>1238</v>
      </c>
      <c r="H19" s="819">
        <f t="shared" si="13"/>
        <v>0</v>
      </c>
      <c r="I19" s="821">
        <f t="shared" si="13"/>
        <v>0</v>
      </c>
      <c r="J19" s="821">
        <f t="shared" si="13"/>
        <v>0</v>
      </c>
      <c r="K19" s="880">
        <f t="shared" si="13"/>
        <v>0</v>
      </c>
      <c r="L19" s="821">
        <f t="shared" si="13"/>
        <v>230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463</v>
      </c>
      <c r="X19" s="820">
        <f t="shared" si="14"/>
        <v>74</v>
      </c>
      <c r="Y19" s="827">
        <f t="shared" si="14"/>
        <v>537</v>
      </c>
      <c r="Z19" s="827">
        <f t="shared" si="14"/>
        <v>0</v>
      </c>
      <c r="AA19" s="827">
        <f t="shared" si="14"/>
        <v>1301</v>
      </c>
      <c r="AB19" s="827">
        <f t="shared" si="14"/>
        <v>2444</v>
      </c>
      <c r="AC19" s="827">
        <f t="shared" si="14"/>
        <v>1433</v>
      </c>
      <c r="AD19" s="827">
        <f t="shared" si="14"/>
        <v>0</v>
      </c>
      <c r="AE19" s="829">
        <f t="shared" si="14"/>
        <v>0</v>
      </c>
      <c r="AF19" s="830">
        <f t="shared" si="14"/>
        <v>0</v>
      </c>
      <c r="AG19" s="831">
        <f t="shared" si="14"/>
        <v>0</v>
      </c>
      <c r="AH19" s="829">
        <f t="shared" si="14"/>
        <v>0</v>
      </c>
      <c r="AI19" s="819">
        <f t="shared" si="14"/>
        <v>199</v>
      </c>
      <c r="AJ19" s="819">
        <f t="shared" si="14"/>
        <v>0</v>
      </c>
      <c r="AK19" s="829">
        <f t="shared" si="14"/>
        <v>0</v>
      </c>
      <c r="AL19" s="883">
        <f>IF(ISNUMBER(NºAsuntos!G19/NºAsuntos!E19),NºAsuntos!G19/NºAsuntos!E19," - ")</f>
        <v>1.1469613259668507</v>
      </c>
      <c r="AM19" s="884">
        <f>IF(ISNUMBER(((NºAsuntos!I19/NºAsuntos!G19)*11)/factor_trimestre),((NºAsuntos!I19/NºAsuntos!G19)*11)/factor_trimestre," - ")</f>
        <v>10.991329479768787</v>
      </c>
      <c r="AN19" s="884">
        <f>IF(ISNUMBER('Resol  Asuntos'!D19/NºAsuntos!G19),'Resol  Asuntos'!D19/NºAsuntos!G19," - ")</f>
        <v>0.19171483622350674</v>
      </c>
      <c r="AO19" s="885">
        <f>IF(ISNUMBER((NºAsuntos!C19+NºAsuntos!E19)/NºAsuntos!G19),(NºAsuntos!C19+NºAsuntos!E19)/NºAsuntos!G19," - ")</f>
        <v>4.6618497109826587</v>
      </c>
      <c r="AP19" s="886" t="str">
        <f t="shared" si="2"/>
        <v xml:space="preserve"> - </v>
      </c>
      <c r="AQ19" s="887">
        <f>IF(OR(ISNUMBER(FIND("01",Criterios!A8,1)),ISNUMBER(FIND("02",Criterios!A8,1)),ISNUMBER(FIND("03",Criterios!A8,1)),ISNUMBER(FIND("04",Criterios!A8,1))),(I19-W19+K19)/(F19-K19),(H19-W19+K19)/(F19-K19))</f>
        <v>-0.4054290718038529</v>
      </c>
      <c r="AR19" s="888">
        <f>IF(ISNUMBER((Datos!P19-Datos!Q19)/(Datos!R19-Datos!P19+Datos!Q19)),(Datos!P19-Datos!Q19)/(Datos!R19-Datos!P19+Datos!Q19)," - ")</f>
        <v>6.8181818181818177E-2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495.2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627.00239233993364</v>
      </c>
      <c r="G21" s="252">
        <f>IF(ISNUMBER(STDEV(G8:G18)),STDEV(G8:G18),"-")</f>
        <v>609.44663425110491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225.52760363201662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51.709444656335911</v>
      </c>
      <c r="AJ21" s="251">
        <f t="shared" si="18"/>
        <v>0</v>
      </c>
      <c r="AK21" s="253">
        <f t="shared" si="18"/>
        <v>0</v>
      </c>
      <c r="AL21" s="248">
        <f t="shared" si="18"/>
        <v>2.00906712790978</v>
      </c>
      <c r="AM21" s="249">
        <f t="shared" si="18"/>
        <v>2.9107746192287123</v>
      </c>
      <c r="AN21" s="249">
        <f t="shared" si="18"/>
        <v>0.12908780305757678</v>
      </c>
      <c r="AO21" s="250">
        <f t="shared" si="18"/>
        <v>0.9712359316519894</v>
      </c>
      <c r="AP21" s="290" t="str">
        <f t="shared" si="18"/>
        <v>-</v>
      </c>
      <c r="AQ21" s="291">
        <f t="shared" si="18"/>
        <v>0.13855593250231396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YM5t7GduA3Bl96yKpBx9krPRUV9iNTPBWUaUsJViGWtd3z80KOIFv4+0NJxZ0OL4/wrsGsoADAIuZXftzCua9A==" saltValue="HV9pmVCdwHGPjeqRa8T8y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VALDEPEÑAS</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3.7037037037037035E-2</v>
      </c>
      <c r="E10" s="347">
        <f>IF(ISNUMBER((Datos!J10-Datos!T10)/Datos!T10),(Datos!J10-Datos!T10)/Datos!T10," - ")</f>
        <v>-0.875</v>
      </c>
      <c r="F10" s="347">
        <f>IF(ISNUMBER((Datos!K10-Datos!U10)/Datos!U10),(Datos!K10-Datos!U10)/Datos!U10," - ")</f>
        <v>1</v>
      </c>
      <c r="G10" s="348">
        <f>IF(ISNUMBER((Datos!L10-Datos!V10)/Datos!V10),(Datos!L10-Datos!V10)/Datos!V10," - ")</f>
        <v>-0.28125</v>
      </c>
      <c r="H10" s="229">
        <f>IF(ISNUMBER((Datos!M10-Datos!W10)/Datos!W10),(Datos!M10-Datos!W10)/Datos!W10," - ")</f>
        <v>2</v>
      </c>
      <c r="I10" s="349">
        <f>IF(ISNUMBER((Tasas!C10-Datos!BE10)/Datos!BE10),(Tasas!C10-Datos!BE10)/Datos!BE10," - ")</f>
        <v>-0.64062499999999989</v>
      </c>
      <c r="J10" s="348">
        <f>IF(ISNUMBER((Tasas!D10-Datos!BF10)/Datos!BF10),(Tasas!D10-Datos!BF10)/Datos!BF10," - ")</f>
        <v>0.50000000000000011</v>
      </c>
      <c r="K10" s="350">
        <f>IF(ISNUMBER((Tasas!E10-Datos!BG10)/Datos!BG10),(Tasas!E10-Datos!BG10)/Datos!BG10," - ")</f>
        <v>-0.58571428571428574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0.13207547169811321</v>
      </c>
      <c r="I12" s="349">
        <f>IF(ISNUMBER((Tasas!C12-Datos!BE12)/Datos!BE12),(Tasas!C12-Datos!BE12)/Datos!BE12," - ")</f>
        <v>-9.4036120401337853E-2</v>
      </c>
      <c r="J12" s="348">
        <f>IF(ISNUMBER((Tasas!D12-Datos!BF12)/Datos!BF12),(Tasas!D12-Datos!BF12)/Datos!BF12," - ")</f>
        <v>-0.51857707509881423</v>
      </c>
      <c r="K12" s="350">
        <f>IF(ISNUMBER((Tasas!E12-Datos!BG12)/Datos!BG12),(Tasas!E12-Datos!BG12)/Datos!BG12," - ")</f>
        <v>-7.9654236705425874E-2</v>
      </c>
      <c r="M12" t="e">
        <f>IF(Monitorios="SI",Datos!CE12,0)</f>
        <v>#REF!</v>
      </c>
      <c r="N12" t="e">
        <f>IF(Monitorios="SI",Datos!CF12,0)</f>
        <v>#REF!</v>
      </c>
      <c r="O12" t="e">
        <f>IF(Monitorios="SI",Datos!CG12,0)</f>
        <v>#REF!</v>
      </c>
      <c r="P12" t="e">
        <f>IF(Monitorios="SI",Datos!CH12,0)</f>
        <v>#REF!</v>
      </c>
      <c r="Q12">
        <f>IF(J_V="SI",0,Datos!AG12)</f>
        <v>58</v>
      </c>
      <c r="R12">
        <f>IF(J_V="SI",0,Datos!AH12)</f>
        <v>18</v>
      </c>
      <c r="S12">
        <f>IF(J_V="SI",0,Datos!AI12)</f>
        <v>24</v>
      </c>
      <c r="T12">
        <f>IF(J_V="SI",0,Datos!AJ12)</f>
        <v>52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0.14953271028037382</v>
      </c>
      <c r="I13" s="356">
        <f>IF(ISNUMBER((Tasas!C13-Datos!BE13)/Datos!BE13),(Tasas!C13-Datos!BE13)/Datos!BE13," - ")</f>
        <v>-0.10053276539172779</v>
      </c>
      <c r="J13" s="354">
        <f>IF(ISNUMBER((Tasas!D13-Datos!BF13)/Datos!BF13),(Tasas!D13-Datos!BF13)/Datos!BF13," - ")</f>
        <v>-0.511083687851135</v>
      </c>
      <c r="K13" s="357">
        <f>IF(ISNUMBER((Tasas!E13-Datos!BG13)/Datos!BG13),(Tasas!E13-Datos!BG13)/Datos!BG13," - ")</f>
        <v>-8.5088195543439327E-2</v>
      </c>
      <c r="M13" t="e">
        <f>IF(Monitorios="SI",Datos!CE13,0)</f>
        <v>#REF!</v>
      </c>
      <c r="N13" t="e">
        <f>IF(Monitorios="SI",Datos!CF13,0)</f>
        <v>#REF!</v>
      </c>
      <c r="O13" t="e">
        <f>IF(Monitorios="SI",Datos!CG13,0)</f>
        <v>#REF!</v>
      </c>
      <c r="P13" t="e">
        <f>IF(Monitorios="SI",Datos!CH13,0)</f>
        <v>#REF!</v>
      </c>
      <c r="Q13">
        <f>IF(J_V="SI",0,Datos!AG13)</f>
        <v>58</v>
      </c>
      <c r="R13">
        <f>IF(J_V="SI",0,Datos!AH13)</f>
        <v>18</v>
      </c>
      <c r="S13">
        <f>IF(J_V="SI",0,Datos!AI13)</f>
        <v>24</v>
      </c>
      <c r="T13">
        <f>IF(J_V="SI",0,Datos!AJ13)</f>
        <v>52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-1.6799292661361626E-2</v>
      </c>
      <c r="E16" s="347">
        <f>IF(ISNUMBER(
   IF(D_I="SI",(Datos!J16-Datos!T16)/Datos!T16,(Datos!J16+Datos!AD16-(Datos!T16+Datos!AL16))/(Datos!T16+Datos!AL16))
     ),IF(D_I="SI",(Datos!J16-Datos!T16)/Datos!T16,(Datos!J16+Datos!AD16-(Datos!T16+Datos!AL16))/(Datos!T16+Datos!AL16))," - ")</f>
        <v>0.26358695652173914</v>
      </c>
      <c r="F16" s="347">
        <f>IF(ISNUMBER(
   IF(D_I="SI",(Datos!K16-Datos!U16)/Datos!U16,(Datos!K16+Datos!AE16-(Datos!U16+Datos!AM16))/(Datos!U16+Datos!AM16))
     ),IF(D_I="SI",(Datos!K16-Datos!U16)/Datos!U16,(Datos!K16+Datos!AE16-(Datos!U16+Datos!AM16))/(Datos!U16+Datos!AM16))," - ")</f>
        <v>-3.3492822966507178E-2</v>
      </c>
      <c r="G16" s="348">
        <f>IF(ISNUMBER(
   IF(D_I="SI",(Datos!L16-Datos!V16)/Datos!V16,(Datos!L16+Datos!AF16-(Datos!V16+Datos!AN16))/(Datos!V16+Datos!AN16))
     ),IF(D_I="SI",(Datos!L16-Datos!V16)/Datos!V16,(Datos!L16+Datos!AF16-(Datos!V16+Datos!AN16))/(Datos!V16+Datos!AN16))," - ")</f>
        <v>8.3948339483394835E-2</v>
      </c>
      <c r="H16" s="229">
        <f>IF(ISNUMBER((Datos!M16-Datos!W16)/Datos!W16),(Datos!M16-Datos!W16)/Datos!W16," - ")</f>
        <v>-9.5890410958904104E-2</v>
      </c>
      <c r="I16" s="349">
        <f>IF(ISNUMBER((Tasas!C16-Datos!BE16)/Datos!BE16),(Tasas!C16-Datos!BE16)/Datos!BE16," - ")</f>
        <v>0.1215109057031165</v>
      </c>
      <c r="J16" s="348">
        <f>IF(ISNUMBER((Tasas!D16-Datos!BF16)/Datos!BF16),(Tasas!D16-Datos!BF16)/Datos!BF16," - ")</f>
        <v>-6.4559880645598741E-2</v>
      </c>
      <c r="K16" s="350">
        <f>IF(ISNUMBER((Tasas!E16-Datos!BG16)/Datos!BG16),(Tasas!E16-Datos!BG16)/Datos!BG16," - ")</f>
        <v>8.8491337459296396E-2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7.6923076923076927E-2</v>
      </c>
      <c r="E17" s="347">
        <f>IF(ISNUMBER(
   IF(D_I="SI",(Datos!J17-Datos!T17)/Datos!T17,(Datos!J17+Datos!AD17-(Datos!T17+Datos!AL17))/(Datos!T17+Datos!AL17))
     ),IF(D_I="SI",(Datos!J17-Datos!T17)/Datos!T17,(Datos!J17+Datos!AD17-(Datos!T17+Datos!AL17))/(Datos!T17+Datos!AL17))," - ")</f>
        <v>-6.4516129032258063E-2</v>
      </c>
      <c r="F17" s="347">
        <f>IF(ISNUMBER(
   IF(D_I="SI",(Datos!K17-Datos!U17)/Datos!U17,(Datos!K17+Datos!AE17-(Datos!U17+Datos!AM17))/(Datos!U17+Datos!AM17))
     ),IF(D_I="SI",(Datos!K17-Datos!U17)/Datos!U17,(Datos!K17+Datos!AE17-(Datos!U17+Datos!AM17))/(Datos!U17+Datos!AM17))," - ")</f>
        <v>8.1632653061224483E-2</v>
      </c>
      <c r="G17" s="348">
        <f>IF(ISNUMBER(
   IF(D_I="SI",(Datos!L17-Datos!V17)/Datos!V17,(Datos!L17+Datos!AF17-(Datos!V17+Datos!AN17))/(Datos!V17+Datos!AN17))
     ),IF(D_I="SI",(Datos!L17-Datos!V17)/Datos!V17,(Datos!L17+Datos!AF17-(Datos!V17+Datos!AN17))/(Datos!V17+Datos!AN17))," - ")</f>
        <v>-9.6153846153846159E-3</v>
      </c>
      <c r="H17" s="229">
        <f>IF(ISNUMBER((Datos!M17-Datos!W17)/Datos!W17),(Datos!M17-Datos!W17)/Datos!W17," - ")</f>
        <v>0</v>
      </c>
      <c r="I17" s="349">
        <f>IF(ISNUMBER((Tasas!C17-Datos!BE17)/Datos!BE17),(Tasas!C17-Datos!BE17)/Datos!BE17," - ")</f>
        <v>-8.4361393323657524E-2</v>
      </c>
      <c r="J17" s="348">
        <f>IF(ISNUMBER((Tasas!D17-Datos!BF17)/Datos!BF17),(Tasas!D17-Datos!BF17)/Datos!BF17," - ")</f>
        <v>-7.5471698113207503E-2</v>
      </c>
      <c r="K17" s="350">
        <f>IF(ISNUMBER((Tasas!E17-Datos!BG17)/Datos!BG17),(Tasas!E17-Datos!BG17)/Datos!BG17," - ")</f>
        <v>-5.7343692193858785E-2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-9.8199672667757774E-3</v>
      </c>
      <c r="E18" s="353">
        <f>IF(ISNUMBER(
   IF(D_I="SI",(Datos!J18-Datos!T18)/Datos!T18,(Datos!J18+Datos!AD18-(Datos!T18+Datos!AL18))/(Datos!T18+Datos!AL18))
     ),IF(D_I="SI",(Datos!J18-Datos!T18)/Datos!T18,(Datos!J18+Datos!AD18-(Datos!T18+Datos!AL18))/(Datos!T18+Datos!AL18))," - ")</f>
        <v>0.21627906976744185</v>
      </c>
      <c r="F18" s="353">
        <f>IF(ISNUMBER(
   IF(D_I="SI",(Datos!K18-Datos!U18)/Datos!U18,(Datos!K18+Datos!AE18-(Datos!U18+Datos!AM18))/(Datos!U18+Datos!AM18))
     ),IF(D_I="SI",(Datos!K18-Datos!U18)/Datos!U18,(Datos!K18+Datos!AE18-(Datos!U18+Datos!AM18))/(Datos!U18+Datos!AM18))," - ")</f>
        <v>-2.1413276231263382E-2</v>
      </c>
      <c r="G18" s="354">
        <f>IF(ISNUMBER(
   IF(D_I="SI",(Datos!L18-Datos!V18)/Datos!V18,(Datos!L18+Datos!AF18-(Datos!V18+Datos!AN18))/(Datos!V18+Datos!AN18))
     ),IF(D_I="SI",(Datos!L18-Datos!V18)/Datos!V18,(Datos!L18+Datos!AF18-(Datos!V18+Datos!AN18))/(Datos!V18+Datos!AN18))," - ")</f>
        <v>7.575757575757576E-2</v>
      </c>
      <c r="H18" s="355">
        <f>IF(ISNUMBER((Datos!M18-Datos!W18)/Datos!W18),(Datos!M18-Datos!W18)/Datos!W18," - ")</f>
        <v>-8.4337349397590355E-2</v>
      </c>
      <c r="I18" s="356">
        <f>IF(ISNUMBER((Tasas!C18-Datos!BE18)/Datos!BE18),(Tasas!C18-Datos!BE18)/Datos!BE18," - ")</f>
        <v>9.9297128837610174E-2</v>
      </c>
      <c r="J18" s="354">
        <f>IF(ISNUMBER((Tasas!D18-Datos!BF18)/Datos!BF18),(Tasas!D18-Datos!BF18)/Datos!BF18," - ")</f>
        <v>-6.4300967546334256E-2</v>
      </c>
      <c r="K18" s="357">
        <f>IF(ISNUMBER((Tasas!E18-Datos!BG18)/Datos!BG18),(Tasas!E18-Datos!BG18)/Datos!BG18," - ")</f>
        <v>7.1986213912186528E-2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-5.5235350624399618E-2</v>
      </c>
      <c r="E19" s="362">
        <f>IF(ISNUMBER(
   IF(J_V="SI",(Datos!J19-Datos!T19)/Datos!T19,(Datos!J19+Datos!Z19-(Datos!T19+Datos!AH19))/(Datos!T19+Datos!AH19))
     ),IF(J_V="SI",(Datos!J19-Datos!T19)/Datos!T19,(Datos!J19+Datos!Z19-(Datos!T19+Datos!AH19))/(Datos!T19+Datos!AH19))," - ")</f>
        <v>-0.14943609022556392</v>
      </c>
      <c r="F19" s="362">
        <f>IF(ISNUMBER(
   IF(J_V="SI",(Datos!K19-Datos!U19)/Datos!U19,(Datos!K19+Datos!AA19-(Datos!U19+Datos!AI19))/(Datos!U19+Datos!AI19))
     ),IF(J_V="SI",(Datos!K19-Datos!U19)/Datos!U19,(Datos!K19+Datos!AA19-(Datos!U19+Datos!AI19))/(Datos!U19+Datos!AI19))," - ")</f>
        <v>-3.7998146431881374E-2</v>
      </c>
      <c r="G19" s="363">
        <f>IF(ISNUMBER(
   IF(J_V="SI",(Datos!L19-Datos!V19)/Datos!V19,(Datos!L19+Datos!AB19-(Datos!V19+Datos!AJ19))/(Datos!V19+Datos!AJ19))
     ),IF(J_V="SI",(Datos!L19-Datos!V19)/Datos!V19,(Datos!L19+Datos!AB19-(Datos!V19+Datos!AJ19))/(Datos!V19+Datos!AJ19))," - ")</f>
        <v>-8.2509047044632092E-2</v>
      </c>
      <c r="H19" s="364">
        <f>IF(ISNUMBER((Datos!M19-Datos!W19)/Datos!W19),(Datos!M19-Datos!W19)/Datos!W19," - ")</f>
        <v>4.736842105263158E-2</v>
      </c>
      <c r="I19" s="361">
        <f>IF(ISNUMBER((Tasas!C19-Datos!BE19)/Datos!BE19),(Tasas!C19-Datos!BE19)/Datos!BE19," - ")</f>
        <v>-4.6269038305547232E-2</v>
      </c>
      <c r="J19" s="362">
        <f>IF(ISNUMBER((Tasas!D19-Datos!BF19)/Datos!BF19),(Tasas!D19-Datos!BF19)/Datos!BF19," - ")</f>
        <v>-0.40557382676677078</v>
      </c>
      <c r="K19" s="363">
        <f>IF(ISNUMBER((Tasas!E19-Datos!BG19)/Datos!BG19),(Tasas!E19-Datos!BG19)/Datos!BG19," - ")</f>
        <v>-3.7847008770028882E-2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4.3819492128048566E-2</v>
      </c>
      <c r="E21" s="277">
        <f t="shared" si="1"/>
        <v>0.52701122579291093</v>
      </c>
      <c r="F21" s="277">
        <f t="shared" si="1"/>
        <v>0.49823098175209041</v>
      </c>
      <c r="G21" s="278">
        <f t="shared" si="1"/>
        <v>0.17095793879035612</v>
      </c>
      <c r="H21" s="284">
        <f t="shared" si="1"/>
        <v>0.81487975902656717</v>
      </c>
      <c r="I21" s="276">
        <f t="shared" si="1"/>
        <v>0.2755783248125217</v>
      </c>
      <c r="J21" s="277">
        <f t="shared" si="1"/>
        <v>0.37532286340326898</v>
      </c>
      <c r="K21" s="278">
        <f t="shared" si="1"/>
        <v>0.24621504415905113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car1rjqNEpMgdBggJFJ0+c0cKCgLgMAnd7BQHy6pmsHUmCMPj3xdvp2wkTyIAznWXeyYXHQZ5zdsaQAWGFL9g==" saltValue="QBrrw9LXgbwwxrc0Dg5x4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